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tats 2011" sheetId="1" r:id="rId1"/>
  </sheets>
  <definedNames>
    <definedName name="_Order1" hidden="1">255</definedName>
    <definedName name="_Order2" hidden="1">255</definedName>
    <definedName name="_xlnm.Print_Area" localSheetId="0">'Stats 2011'!$A$1:$P$52</definedName>
    <definedName name="_xlnm.Print_Titles">$A$1:$A$1</definedName>
  </definedNames>
  <calcPr fullCalcOnLoad="1"/>
</workbook>
</file>

<file path=xl/comments1.xml><?xml version="1.0" encoding="utf-8"?>
<comments xmlns="http://schemas.openxmlformats.org/spreadsheetml/2006/main">
  <authors>
    <author>Don Tanner</author>
    <author>Erie Municipal Airport Authority</author>
    <author>Sheilah Bruno</author>
  </authors>
  <commentList>
    <comment ref="A20" authorId="0">
      <text>
        <r>
          <rPr>
            <b/>
            <sz val="8"/>
            <rFont val="Tahoma"/>
            <family val="0"/>
          </rPr>
          <t>Don Tanner:</t>
        </r>
        <r>
          <rPr>
            <sz val="8"/>
            <rFont val="Tahoma"/>
            <family val="0"/>
          </rPr>
          <t xml:space="preserve">
weight in pounds
"enplaned"</t>
        </r>
      </text>
    </comment>
    <comment ref="A24" authorId="0">
      <text>
        <r>
          <rPr>
            <sz val="8"/>
            <rFont val="Tahoma"/>
            <family val="0"/>
          </rPr>
          <t>weight in pounds
"deplaned"</t>
        </r>
      </text>
    </comment>
    <comment ref="A6" authorId="0">
      <text>
        <r>
          <rPr>
            <sz val="8"/>
            <rFont val="Tahoma"/>
            <family val="0"/>
          </rPr>
          <t>People count</t>
        </r>
      </text>
    </comment>
    <comment ref="A31" authorId="1">
      <text>
        <r>
          <rPr>
            <sz val="8"/>
            <rFont val="Tahoma"/>
            <family val="0"/>
          </rPr>
          <t>GA (27-31)
GE, Lord etc.</t>
        </r>
      </text>
    </comment>
    <comment ref="A33" authorId="1">
      <text>
        <r>
          <rPr>
            <sz val="8"/>
            <rFont val="Tahoma"/>
            <family val="0"/>
          </rPr>
          <t xml:space="preserve">Civil (37-41)
Cesna, Flt School, Touch-n-Go.
</t>
        </r>
      </text>
    </comment>
    <comment ref="A30" authorId="1">
      <text>
        <r>
          <rPr>
            <sz val="8"/>
            <rFont val="Tahoma"/>
            <family val="0"/>
          </rPr>
          <t>AT (22-26)
Major Carriers &amp;
FedEx</t>
        </r>
      </text>
    </comment>
    <comment ref="A29" authorId="1">
      <text>
        <r>
          <rPr>
            <sz val="8"/>
            <rFont val="Tahoma"/>
            <family val="0"/>
          </rPr>
          <t>AC (17-21)
Spcl Charters: i.e. (gamblers/Mercyhurst)</t>
        </r>
      </text>
    </comment>
    <comment ref="A34" authorId="1">
      <text>
        <r>
          <rPr>
            <b/>
            <sz val="8"/>
            <rFont val="Tahoma"/>
            <family val="0"/>
          </rPr>
          <t>Erie Municipal Airport Authority:</t>
        </r>
        <r>
          <rPr>
            <sz val="8"/>
            <rFont val="Tahoma"/>
            <family val="0"/>
          </rPr>
          <t xml:space="preserve">
Should match
Total Operations
from Airport Traffic Record.</t>
        </r>
      </text>
    </comment>
    <comment ref="A21" authorId="1">
      <text>
        <r>
          <rPr>
            <b/>
            <sz val="8"/>
            <rFont val="Tahoma"/>
            <family val="0"/>
          </rPr>
          <t>Erie Municipal Airport Authority:</t>
        </r>
        <r>
          <rPr>
            <sz val="8"/>
            <rFont val="Tahoma"/>
            <family val="0"/>
          </rPr>
          <t xml:space="preserve">
NW,USAir,Comair</t>
        </r>
      </text>
    </comment>
    <comment ref="A25" authorId="1">
      <text>
        <r>
          <rPr>
            <b/>
            <sz val="8"/>
            <rFont val="Tahoma"/>
            <family val="0"/>
          </rPr>
          <t>Erie Municipal Airport Authority:</t>
        </r>
        <r>
          <rPr>
            <sz val="8"/>
            <rFont val="Tahoma"/>
            <family val="0"/>
          </rPr>
          <t xml:space="preserve">
MtnAir Cargo (off) deplaned
+ Mesaba
+ Delta (Comair)</t>
        </r>
      </text>
    </comment>
    <comment ref="A47" authorId="1">
      <text>
        <r>
          <rPr>
            <sz val="8"/>
            <rFont val="Tahoma"/>
            <family val="0"/>
          </rPr>
          <t>B737=198,076# round trip flight
154,500# B727 flight
B737-200 117,000# (ref. Feb '11 North Coast invoice)
B737-700 133,001#
Airbus 320 162,040# round trip = 324,080#</t>
        </r>
      </text>
    </comment>
    <comment ref="A32" authorId="1">
      <text>
        <r>
          <rPr>
            <b/>
            <sz val="8"/>
            <rFont val="Tahoma"/>
            <family val="0"/>
          </rPr>
          <t>Erie Municipal Airport Authority:</t>
        </r>
        <r>
          <rPr>
            <sz val="8"/>
            <rFont val="Tahoma"/>
            <family val="0"/>
          </rPr>
          <t xml:space="preserve">
MI (32-36)  +
Military (42-46)</t>
        </r>
      </text>
    </comment>
    <comment ref="A28" authorId="1">
      <text>
        <r>
          <rPr>
            <b/>
            <sz val="8"/>
            <rFont val="Tahoma"/>
            <family val="0"/>
          </rPr>
          <t>Erie Municipal Airport Authority:</t>
        </r>
        <r>
          <rPr>
            <sz val="8"/>
            <rFont val="Tahoma"/>
            <family val="0"/>
          </rPr>
          <t xml:space="preserve">
This report comes from Patty at the FAA.</t>
        </r>
      </text>
    </comment>
    <comment ref="A48" authorId="1">
      <text>
        <r>
          <rPr>
            <b/>
            <sz val="8"/>
            <rFont val="Tahoma"/>
            <family val="0"/>
          </rPr>
          <t>MD-83&amp;87 = 139,500</t>
        </r>
      </text>
    </comment>
    <comment ref="D47" authorId="2">
      <text>
        <r>
          <rPr>
            <b/>
            <sz val="8"/>
            <rFont val="Tahoma"/>
            <family val="0"/>
          </rPr>
          <t>3/17 Airbus 320 162,040#
3/16 Airbus 320 162,040#
3/19   B737-400 138,500#
3/21  B737-200 117,000#</t>
        </r>
      </text>
    </comment>
    <comment ref="D9" authorId="2">
      <text>
        <r>
          <rPr>
            <b/>
            <sz val="8"/>
            <rFont val="Tahoma"/>
            <family val="0"/>
          </rPr>
          <t>3/12 44
3/16 88
3/19 57
3/21 83</t>
        </r>
      </text>
    </comment>
  </commentList>
</comments>
</file>

<file path=xl/sharedStrings.xml><?xml version="1.0" encoding="utf-8"?>
<sst xmlns="http://schemas.openxmlformats.org/spreadsheetml/2006/main" count="68" uniqueCount="59">
  <si>
    <t>Airport Traffic Statistics Report</t>
  </si>
  <si>
    <t>Erie Municipal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</si>
  <si>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</si>
  <si>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</si>
  <si>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</si>
  <si>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</si>
  <si>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</si>
  <si>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</si>
  <si>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</si>
  <si>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</si>
  <si>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</si>
  <si>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</si>
  <si>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</si>
  <si>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</si>
  <si>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</si>
  <si>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</si>
  <si>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</si>
  <si>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</si>
  <si>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</si>
  <si>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</si>
  <si>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</si>
  <si>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USAir (Piedmont/AirWis)</t>
  </si>
  <si>
    <t>Delta(Mesaba/Pinnacle)</t>
  </si>
  <si>
    <t>Charters(NoCoast/Alleg)</t>
  </si>
  <si>
    <t>CO (Commut)</t>
  </si>
  <si>
    <t>DEPLANEMENTS</t>
  </si>
  <si>
    <t>USAir/AirWis/Piedmont</t>
  </si>
  <si>
    <t>CO/Commut/Express</t>
  </si>
  <si>
    <t>CARGO ON (enplaned)</t>
  </si>
  <si>
    <t xml:space="preserve">Cargo  </t>
  </si>
  <si>
    <t>CARGO OFF (deplaned)</t>
  </si>
  <si>
    <t>OPERATIONS</t>
  </si>
  <si>
    <t>Carrier</t>
  </si>
  <si>
    <t>AC</t>
  </si>
  <si>
    <t>Comm/Taxi</t>
  </si>
  <si>
    <t>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</si>
  <si>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</si>
  <si>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</si>
  <si>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</si>
  <si>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</si>
  <si>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</si>
  <si>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</si>
  <si>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</si>
  <si>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</si>
  <si>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US Air</t>
  </si>
  <si>
    <t>CRJ-70/200, 100/200</t>
  </si>
  <si>
    <t>DH8-100,200,300</t>
  </si>
  <si>
    <t>Delta (Mesaba/Pinnacle)</t>
  </si>
  <si>
    <t>SFC / Saab B+</t>
  </si>
  <si>
    <t>CRJ</t>
  </si>
  <si>
    <t>Continental-Commut</t>
  </si>
  <si>
    <t>ERJ135/145</t>
  </si>
  <si>
    <t>DH8</t>
  </si>
  <si>
    <t>Charters</t>
  </si>
  <si>
    <t>N.Coast B737-200/700,AB320</t>
  </si>
  <si>
    <t>Allegiant MD-83 / MD-87</t>
  </si>
  <si>
    <t>Cargo</t>
  </si>
  <si>
    <t>Mountain Air C208</t>
  </si>
  <si>
    <t>CSA Air C208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</si>
</sst>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"/>
    <numFmt numFmtId="167" formatCode="mm/dd/yy"/>
    <numFmt numFmtId="168" formatCode="&quot;$&quot;#,##0.000_);[Red]\(&quot;$&quot;#,##0.000\)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#,##0.0"/>
    <numFmt numFmtId="178" formatCode="&quot;$&quot;#,##0.0"/>
    <numFmt numFmtId="179" formatCode="&quot;$&quot;#,##0"/>
    <numFmt numFmtId="180" formatCode="0.000%"/>
    <numFmt numFmtId="181" formatCode="mmmm\-yy"/>
    <numFmt numFmtId="182" formatCode="d\-mmm\-yyyy"/>
    <numFmt numFmtId="183" formatCode="#,##0.00;\-#,##0.00"/>
    <numFmt numFmtId="184" formatCode="#,##0.0;\-#,##0.0"/>
    <numFmt numFmtId="185" formatCode="#,##0;\-#,##0"/>
    <numFmt numFmtId="186" formatCode="_(* #,##0.0_);_(* \(#,##0.0\);_(* &quot;-&quot;?_);_(@_)"/>
    <numFmt numFmtId="187" formatCode="_(* #,##0.000_);_(* \(#,##0.000\);_(* &quot;-&quot;???_);_(@_)"/>
    <numFmt numFmtId="188" formatCode="0_)"/>
    <numFmt numFmtId="189" formatCode="0.00_)"/>
    <numFmt numFmtId="190" formatCode="&quot;$&quot;#,##0.000_);\(&quot;$&quot;#,##0.000\)"/>
    <numFmt numFmtId="191" formatCode="0.0000%"/>
    <numFmt numFmtId="192" formatCode="#,##0.000_);\(#,##0.000\)"/>
    <numFmt numFmtId="193" formatCode="0.00_);\(0.00\)"/>
    <numFmt numFmtId="194" formatCode="0_);\(0\)"/>
    <numFmt numFmtId="195" formatCode="#,##0.00;[Red]\(#,##0.00\)"/>
    <numFmt numFmtId="196" formatCode="mmmm\ d\,\ yyyy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0.0"/>
    <numFmt numFmtId="205" formatCode="0.000"/>
    <numFmt numFmtId="206" formatCode="0.00000"/>
    <numFmt numFmtId="207" formatCode="0.0000"/>
    <numFmt numFmtId="208" formatCode="&quot;$&quot;#,##0\ ;\(&quot;$&quot;#,##0\)"/>
    <numFmt numFmtId="209" formatCode="&quot;$&quot;#,##0\ ;[Red]\(&quot;$&quot;#,##0\)"/>
    <numFmt numFmtId="210" formatCode="&quot;$&quot;#,##0.00\ ;\(&quot;$&quot;#,##0.00\)"/>
    <numFmt numFmtId="211" formatCode="&quot;$&quot;#,##0.00\ ;[Red]\(&quot;$&quot;#,##0.00\)"/>
    <numFmt numFmtId="212" formatCode="m/d"/>
    <numFmt numFmtId="213" formatCode="_(* #,##0.000_);_(* \(#,##0.000\);_(* &quot;-&quot;??_);_(@_)"/>
    <numFmt numFmtId="214" formatCode="_(* #,##0.0000_);_(* \(#,##0.0000\);_(* &quot;-&quot;??_);_(@_)"/>
    <numFmt numFmtId="215" formatCode="_(* #,##0%_);_(* \(#,##0%\);_(* &quot;-&quot;??_);_(@_)"/>
    <numFmt numFmtId="216" formatCode="\-"/>
    <numFmt numFmtId="217" formatCode="#,##0.0_);\(#,##0.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0"/>
      <color indexed="2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96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5" fillId="2" borderId="0">
      <alignment horizontal="right"/>
      <protection/>
    </xf>
    <xf numFmtId="0" fontId="6" fillId="3" borderId="0">
      <alignment horizontal="center"/>
      <protection/>
    </xf>
    <xf numFmtId="0" fontId="7" fillId="4" borderId="0">
      <alignment/>
      <protection/>
    </xf>
    <xf numFmtId="0" fontId="8" fillId="2" borderId="0" applyBorder="0">
      <alignment horizontal="centerContinuous"/>
      <protection/>
    </xf>
    <xf numFmtId="0" fontId="9" fillId="4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74" fontId="0" fillId="0" borderId="0" xfId="32" applyNumberForma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174" fontId="0" fillId="0" borderId="2" xfId="32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0" xfId="0" applyFont="1" applyAlignment="1">
      <alignment/>
    </xf>
    <xf numFmtId="0" fontId="12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</cellXfs>
  <cellStyles count="2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OUTPUT AMOUNTS" xfId="27"/>
    <cellStyle name="OUTPUT COLUMN HEADINGS" xfId="28"/>
    <cellStyle name="OUTPUT LINE ITEMS" xfId="29"/>
    <cellStyle name="OUTPUT REPORT HEADING" xfId="30"/>
    <cellStyle name="OUTPUT REPORT TITLE" xfId="31"/>
    <cellStyle name="Percent" xfId="32"/>
    <cellStyle name="Total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N1"/>
    </sheetView>
  </sheetViews>
  <sheetFormatPr defaultColWidth="9.140625" defaultRowHeight="12.75"/>
  <cols>
    <col min="1" max="1" width="20.421875" style="0" customWidth="1"/>
    <col min="6" max="6" width="9.140625" style="3" customWidth="1"/>
    <col min="14" max="14" width="10.00390625" style="0" bestFit="1" customWidth="1"/>
    <col min="15" max="15" width="7.28125" style="0" hidden="1" customWidth="1"/>
    <col min="16" max="16" width="9.00390625" style="0" customWidth="1"/>
  </cols>
  <sheetData>
    <row r="1" spans="1:14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2" t="s">
        <v>2</v>
      </c>
    </row>
    <row r="3" spans="1:16" ht="12.75" customHeight="1">
      <c r="A3" s="1">
        <v>2011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3</v>
      </c>
    </row>
    <row r="4" ht="12" customHeight="1">
      <c r="P4" s="2" t="s">
        <v>4</v>
      </c>
    </row>
    <row r="5" spans="1:16" s="4" customFormat="1" ht="12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P5" s="2" t="s">
        <v>19</v>
      </c>
    </row>
    <row r="6" spans="1:9" ht="12" customHeight="1">
      <c r="A6" s="7" t="s">
        <v>20</v>
      </c>
      <c r="I6" s="3"/>
    </row>
    <row r="7" spans="1:16" ht="12" customHeight="1">
      <c r="A7" s="8" t="s">
        <v>21</v>
      </c>
      <c r="B7" s="9">
        <v>2395</v>
      </c>
      <c r="C7" s="10">
        <v>2267</v>
      </c>
      <c r="D7" s="9">
        <v>2579</v>
      </c>
      <c r="E7" s="9">
        <v>2446</v>
      </c>
      <c r="F7" s="10">
        <v>2863</v>
      </c>
      <c r="G7" s="9">
        <v>2346</v>
      </c>
      <c r="H7" s="9">
        <v>2410</v>
      </c>
      <c r="I7" s="10">
        <v>2040</v>
      </c>
      <c r="J7" s="10">
        <v>2179</v>
      </c>
      <c r="K7" s="9">
        <v>2567</v>
      </c>
      <c r="L7" s="10">
        <v>2579</v>
      </c>
      <c r="M7" s="9">
        <v>2881</v>
      </c>
      <c r="N7" s="9">
        <f>SUM(B7:M7)</f>
        <v>29552</v>
      </c>
      <c r="O7" s="11">
        <f>+N7/N$11</f>
        <v>0.26272180932399275</v>
      </c>
      <c r="P7" s="11">
        <f>+N7/(N$11-N$9)</f>
        <v>0.26479337658148455</v>
      </c>
    </row>
    <row r="8" spans="1:16" ht="12" customHeight="1">
      <c r="A8" t="s">
        <v>22</v>
      </c>
      <c r="B8" s="9">
        <v>3662</v>
      </c>
      <c r="C8" s="10">
        <v>3558</v>
      </c>
      <c r="D8" s="9">
        <f>4181+13</f>
        <v>4194</v>
      </c>
      <c r="E8" s="9">
        <v>3828</v>
      </c>
      <c r="F8" s="10">
        <v>4034</v>
      </c>
      <c r="G8" s="9">
        <v>4245</v>
      </c>
      <c r="H8" s="9">
        <v>5149</v>
      </c>
      <c r="I8" s="10">
        <v>5034</v>
      </c>
      <c r="J8" s="10">
        <v>4528</v>
      </c>
      <c r="K8" s="9">
        <v>4548</v>
      </c>
      <c r="L8" s="10">
        <v>4075</v>
      </c>
      <c r="M8" s="10">
        <v>3430</v>
      </c>
      <c r="N8" s="9">
        <f>SUM(B8:M8)</f>
        <v>50285</v>
      </c>
      <c r="O8" s="11">
        <f>+N8/N$11</f>
        <v>0.4470413569929946</v>
      </c>
      <c r="P8" s="11">
        <f>+N8/(N$11-N$9)</f>
        <v>0.4505662879466686</v>
      </c>
    </row>
    <row r="9" spans="1:16" ht="12" customHeight="1">
      <c r="A9" t="s">
        <v>23</v>
      </c>
      <c r="B9" s="9"/>
      <c r="C9" s="10">
        <v>86</v>
      </c>
      <c r="D9" s="9">
        <f>44+88+57+83</f>
        <v>272</v>
      </c>
      <c r="E9" s="9"/>
      <c r="F9" s="10">
        <v>105</v>
      </c>
      <c r="G9" s="9">
        <v>58</v>
      </c>
      <c r="H9" s="9">
        <v>121</v>
      </c>
      <c r="I9" s="10">
        <v>52</v>
      </c>
      <c r="J9" s="12">
        <v>118</v>
      </c>
      <c r="K9" s="9">
        <v>0</v>
      </c>
      <c r="L9" s="10">
        <v>68</v>
      </c>
      <c r="M9" s="13">
        <v>0</v>
      </c>
      <c r="N9" s="9">
        <f>SUM(B9:M9)</f>
        <v>880</v>
      </c>
      <c r="O9" s="11">
        <f>+N9/N$11</f>
        <v>0.007823334874293233</v>
      </c>
      <c r="P9" s="11"/>
    </row>
    <row r="10" spans="1:16" ht="12" customHeight="1">
      <c r="A10" t="s">
        <v>24</v>
      </c>
      <c r="B10" s="14">
        <v>2459</v>
      </c>
      <c r="C10" s="15">
        <v>2005</v>
      </c>
      <c r="D10" s="14">
        <v>2452</v>
      </c>
      <c r="E10" s="14">
        <v>2570</v>
      </c>
      <c r="F10" s="15">
        <v>2774</v>
      </c>
      <c r="G10" s="14">
        <v>3033</v>
      </c>
      <c r="H10" s="15">
        <v>3211</v>
      </c>
      <c r="I10" s="15">
        <v>3016</v>
      </c>
      <c r="J10" s="15">
        <v>2648</v>
      </c>
      <c r="K10" s="14">
        <v>2584</v>
      </c>
      <c r="L10" s="15">
        <v>2324</v>
      </c>
      <c r="M10" s="14">
        <v>2691</v>
      </c>
      <c r="N10" s="14">
        <f>SUM(B10:M10)</f>
        <v>31767</v>
      </c>
      <c r="O10" s="16">
        <f>+N10/N$11</f>
        <v>0.28241349880871947</v>
      </c>
      <c r="P10" s="11">
        <f>+N10/(N$11-N$9)</f>
        <v>0.28464033547184686</v>
      </c>
    </row>
    <row r="11" spans="1:16" ht="12" customHeight="1">
      <c r="A11" t="s">
        <v>18</v>
      </c>
      <c r="B11" s="9">
        <f aca="true" t="shared" si="0" ref="B11:P11">SUM(B7:B10)</f>
        <v>8516</v>
      </c>
      <c r="C11" s="10">
        <f t="shared" si="0"/>
        <v>7916</v>
      </c>
      <c r="D11" s="9">
        <f t="shared" si="0"/>
        <v>9497</v>
      </c>
      <c r="E11" s="9">
        <f t="shared" si="0"/>
        <v>8844</v>
      </c>
      <c r="F11" s="10">
        <f t="shared" si="0"/>
        <v>9776</v>
      </c>
      <c r="G11" s="9">
        <f t="shared" si="0"/>
        <v>9682</v>
      </c>
      <c r="H11" s="9">
        <f t="shared" si="0"/>
        <v>10891</v>
      </c>
      <c r="I11" s="10">
        <f t="shared" si="0"/>
        <v>10142</v>
      </c>
      <c r="J11" s="10">
        <f t="shared" si="0"/>
        <v>9473</v>
      </c>
      <c r="K11" s="9">
        <f t="shared" si="0"/>
        <v>9699</v>
      </c>
      <c r="L11" s="10">
        <f t="shared" si="0"/>
        <v>9046</v>
      </c>
      <c r="M11" s="9">
        <f t="shared" si="0"/>
        <v>9002</v>
      </c>
      <c r="N11" s="9">
        <f t="shared" si="0"/>
        <v>112484</v>
      </c>
      <c r="O11" s="17">
        <f t="shared" si="0"/>
        <v>1</v>
      </c>
      <c r="P11" s="18">
        <f t="shared" si="0"/>
        <v>1</v>
      </c>
    </row>
    <row r="12" spans="1:16" ht="12" customHeight="1">
      <c r="A12" t="s">
        <v>5</v>
      </c>
      <c r="B12" s="9"/>
      <c r="C12" s="10"/>
      <c r="D12" s="9"/>
      <c r="E12" s="9"/>
      <c r="F12" s="10"/>
      <c r="G12" s="9"/>
      <c r="H12" s="9"/>
      <c r="I12" s="10"/>
      <c r="J12" s="10"/>
      <c r="K12" s="9"/>
      <c r="L12" s="10"/>
      <c r="M12" s="9"/>
      <c r="N12" s="9"/>
      <c r="O12" s="17"/>
      <c r="P12" s="17"/>
    </row>
    <row r="13" spans="1:16" ht="12" customHeight="1">
      <c r="A13" s="7" t="s">
        <v>25</v>
      </c>
      <c r="B13" s="9"/>
      <c r="C13" s="10"/>
      <c r="D13" s="9"/>
      <c r="E13" s="9"/>
      <c r="F13" s="10"/>
      <c r="G13" s="9"/>
      <c r="H13" s="9"/>
      <c r="I13" s="10"/>
      <c r="J13" s="10"/>
      <c r="K13" s="9"/>
      <c r="L13" s="10"/>
      <c r="M13" s="9"/>
      <c r="N13" s="9"/>
      <c r="O13" s="17"/>
      <c r="P13" s="17"/>
    </row>
    <row r="14" spans="1:16" ht="12" customHeight="1">
      <c r="A14" t="s">
        <v>26</v>
      </c>
      <c r="B14" s="9">
        <v>2287</v>
      </c>
      <c r="C14" s="10">
        <v>2260</v>
      </c>
      <c r="D14" s="9">
        <v>2605</v>
      </c>
      <c r="E14" s="9">
        <v>2552</v>
      </c>
      <c r="F14" s="10">
        <v>2747</v>
      </c>
      <c r="G14" s="9">
        <v>2648</v>
      </c>
      <c r="H14" s="9">
        <v>2560</v>
      </c>
      <c r="I14" s="10">
        <v>2415</v>
      </c>
      <c r="J14" s="10">
        <v>2284</v>
      </c>
      <c r="K14" s="9">
        <v>2723</v>
      </c>
      <c r="L14" s="10">
        <v>2613</v>
      </c>
      <c r="M14" s="9">
        <v>2678</v>
      </c>
      <c r="N14" s="9">
        <f>SUM(B14:M14)</f>
        <v>30372</v>
      </c>
      <c r="O14" s="11">
        <f>+N14/N$18</f>
        <v>0.2767077859368452</v>
      </c>
      <c r="P14" s="11">
        <f>+N14/(N$18-N$16)</f>
        <v>0.27894417810106353</v>
      </c>
    </row>
    <row r="15" spans="1:16" ht="12" customHeight="1">
      <c r="A15" t="str">
        <f>+A8</f>
        <v>Delta(Mesaba/Pinnacle)</v>
      </c>
      <c r="B15" s="9">
        <v>3465</v>
      </c>
      <c r="C15" s="10">
        <v>3377</v>
      </c>
      <c r="D15" s="9">
        <f>4181+13</f>
        <v>4194</v>
      </c>
      <c r="E15" s="9">
        <v>3786</v>
      </c>
      <c r="F15" s="10">
        <v>4098</v>
      </c>
      <c r="G15" s="9">
        <v>4292</v>
      </c>
      <c r="H15" s="9">
        <v>4997</v>
      </c>
      <c r="I15" s="10">
        <v>5008</v>
      </c>
      <c r="J15" s="10">
        <v>4303</v>
      </c>
      <c r="K15" s="9">
        <v>4282</v>
      </c>
      <c r="L15" s="10">
        <v>3974</v>
      </c>
      <c r="M15" s="9">
        <v>3444</v>
      </c>
      <c r="N15" s="9">
        <f>SUM(B15:M15)</f>
        <v>49220</v>
      </c>
      <c r="O15" s="11">
        <f>+N15/N$18</f>
        <v>0.44842477360106414</v>
      </c>
      <c r="P15" s="11">
        <f>+N15/(N$18-N$16)</f>
        <v>0.452049007182087</v>
      </c>
    </row>
    <row r="16" spans="1:16" ht="12" customHeight="1">
      <c r="A16" t="s">
        <v>23</v>
      </c>
      <c r="B16" s="9"/>
      <c r="C16" s="9">
        <v>86</v>
      </c>
      <c r="D16" s="9">
        <f>+D9</f>
        <v>272</v>
      </c>
      <c r="E16" s="9"/>
      <c r="F16" s="10">
        <v>105</v>
      </c>
      <c r="G16" s="9">
        <v>58</v>
      </c>
      <c r="H16" s="9">
        <v>121</v>
      </c>
      <c r="I16" s="10">
        <v>52</v>
      </c>
      <c r="J16" s="12">
        <v>118</v>
      </c>
      <c r="K16" s="9"/>
      <c r="L16" s="10">
        <v>68</v>
      </c>
      <c r="M16" s="13">
        <v>0</v>
      </c>
      <c r="N16" s="9">
        <f>SUM(B16:M16)</f>
        <v>880</v>
      </c>
      <c r="O16" s="11">
        <f>+N16/N$18</f>
        <v>0.008017346622692736</v>
      </c>
      <c r="P16" s="11"/>
    </row>
    <row r="17" spans="1:16" ht="12" customHeight="1">
      <c r="A17" t="s">
        <v>27</v>
      </c>
      <c r="B17" s="14">
        <v>2077</v>
      </c>
      <c r="C17" s="15">
        <v>1536</v>
      </c>
      <c r="D17" s="14">
        <v>2400</v>
      </c>
      <c r="E17" s="14">
        <v>2327</v>
      </c>
      <c r="F17" s="15">
        <v>2447</v>
      </c>
      <c r="G17" s="14">
        <v>2898</v>
      </c>
      <c r="H17" s="15">
        <v>2944</v>
      </c>
      <c r="I17" s="15">
        <v>2982</v>
      </c>
      <c r="J17" s="15">
        <v>2438</v>
      </c>
      <c r="K17" s="14">
        <v>2415</v>
      </c>
      <c r="L17" s="15">
        <v>2220</v>
      </c>
      <c r="M17" s="14">
        <v>2606</v>
      </c>
      <c r="N17" s="14">
        <f>SUM(B17:M17)</f>
        <v>29290</v>
      </c>
      <c r="O17" s="16">
        <f>+N17/N$18</f>
        <v>0.26685009383939795</v>
      </c>
      <c r="P17" s="11">
        <f>+N17/(N$18-N$16)</f>
        <v>0.26900681471684945</v>
      </c>
    </row>
    <row r="18" spans="1:16" ht="12" customHeight="1">
      <c r="A18" t="s">
        <v>18</v>
      </c>
      <c r="B18" s="9">
        <f aca="true" t="shared" si="1" ref="B18:M18">SUM(B14:B17)</f>
        <v>7829</v>
      </c>
      <c r="C18" s="10">
        <f t="shared" si="1"/>
        <v>7259</v>
      </c>
      <c r="D18" s="9">
        <f t="shared" si="1"/>
        <v>9471</v>
      </c>
      <c r="E18" s="9">
        <f t="shared" si="1"/>
        <v>8665</v>
      </c>
      <c r="F18" s="10">
        <f t="shared" si="1"/>
        <v>9397</v>
      </c>
      <c r="G18" s="9">
        <f t="shared" si="1"/>
        <v>9896</v>
      </c>
      <c r="H18" s="9">
        <f t="shared" si="1"/>
        <v>10622</v>
      </c>
      <c r="I18" s="10">
        <f t="shared" si="1"/>
        <v>10457</v>
      </c>
      <c r="J18" s="10">
        <f t="shared" si="1"/>
        <v>9143</v>
      </c>
      <c r="K18" s="9">
        <f t="shared" si="1"/>
        <v>9420</v>
      </c>
      <c r="L18" s="10">
        <f t="shared" si="1"/>
        <v>8875</v>
      </c>
      <c r="M18" s="9">
        <f t="shared" si="1"/>
        <v>8728</v>
      </c>
      <c r="N18" s="9">
        <f>SUM(B18:M18)</f>
        <v>109762</v>
      </c>
      <c r="O18" s="17">
        <f>SUM(O14:O17)</f>
        <v>1</v>
      </c>
      <c r="P18" s="17">
        <f>SUM(P14:P17)</f>
        <v>1</v>
      </c>
    </row>
    <row r="19" spans="1:14" ht="12" customHeight="1">
      <c r="A19" t="s">
        <v>5</v>
      </c>
      <c r="B19" s="9"/>
      <c r="C19" s="10"/>
      <c r="D19" s="9"/>
      <c r="E19" s="9"/>
      <c r="F19" s="10"/>
      <c r="G19" s="9"/>
      <c r="H19" s="9"/>
      <c r="I19" s="10"/>
      <c r="J19" s="10"/>
      <c r="K19" s="9"/>
      <c r="L19" s="10"/>
      <c r="M19" s="9"/>
      <c r="N19" s="9"/>
    </row>
    <row r="20" spans="1:14" ht="12" customHeight="1">
      <c r="A20" s="7" t="s">
        <v>28</v>
      </c>
      <c r="B20" s="9"/>
      <c r="C20" s="10"/>
      <c r="D20" s="9"/>
      <c r="E20" s="9"/>
      <c r="F20" s="10"/>
      <c r="G20" s="9"/>
      <c r="H20" s="9"/>
      <c r="I20" s="10"/>
      <c r="J20" s="10"/>
      <c r="K20" s="9"/>
      <c r="L20" s="10"/>
      <c r="M20" s="9"/>
      <c r="N20" s="9"/>
    </row>
    <row r="21" spans="1:14" ht="12" customHeight="1">
      <c r="A21" t="s">
        <v>29</v>
      </c>
      <c r="B21" s="14">
        <f>61+56</f>
        <v>117</v>
      </c>
      <c r="C21" s="15">
        <f>761+27</f>
        <v>788</v>
      </c>
      <c r="D21" s="14">
        <f>280+32</f>
        <v>312</v>
      </c>
      <c r="E21" s="14">
        <f>395+95</f>
        <v>490</v>
      </c>
      <c r="F21" s="15">
        <v>269</v>
      </c>
      <c r="G21" s="14">
        <f>75+625</f>
        <v>700</v>
      </c>
      <c r="H21" s="14">
        <f>135+153</f>
        <v>288</v>
      </c>
      <c r="I21" s="15">
        <f>126+26</f>
        <v>152</v>
      </c>
      <c r="J21" s="15">
        <f>293+734</f>
        <v>1027</v>
      </c>
      <c r="K21" s="14">
        <f>57+20</f>
        <v>77</v>
      </c>
      <c r="L21" s="15">
        <f>963+225</f>
        <v>1188</v>
      </c>
      <c r="M21" s="19">
        <f>86+70</f>
        <v>156</v>
      </c>
      <c r="N21" s="14">
        <f>SUM(B21:M21)</f>
        <v>5564</v>
      </c>
    </row>
    <row r="22" spans="1:14" ht="12" customHeight="1">
      <c r="A22" t="s">
        <v>18</v>
      </c>
      <c r="B22" s="9">
        <f aca="true" t="shared" si="2" ref="B22:M22">SUM(B21:B21)</f>
        <v>117</v>
      </c>
      <c r="C22" s="10">
        <f t="shared" si="2"/>
        <v>788</v>
      </c>
      <c r="D22" s="9">
        <f t="shared" si="2"/>
        <v>312</v>
      </c>
      <c r="E22" s="9">
        <f t="shared" si="2"/>
        <v>490</v>
      </c>
      <c r="F22" s="10">
        <f t="shared" si="2"/>
        <v>269</v>
      </c>
      <c r="G22" s="9">
        <f t="shared" si="2"/>
        <v>700</v>
      </c>
      <c r="H22" s="9">
        <f t="shared" si="2"/>
        <v>288</v>
      </c>
      <c r="I22" s="10">
        <f t="shared" si="2"/>
        <v>152</v>
      </c>
      <c r="J22" s="10">
        <f t="shared" si="2"/>
        <v>1027</v>
      </c>
      <c r="K22" s="9">
        <f t="shared" si="2"/>
        <v>77</v>
      </c>
      <c r="L22" s="10">
        <f t="shared" si="2"/>
        <v>1188</v>
      </c>
      <c r="M22" s="9">
        <f t="shared" si="2"/>
        <v>156</v>
      </c>
      <c r="N22" s="9">
        <f>SUM(B22:M22)</f>
        <v>5564</v>
      </c>
    </row>
    <row r="23" spans="2:14" ht="12" customHeight="1">
      <c r="B23" s="9"/>
      <c r="C23" s="10"/>
      <c r="D23" s="9"/>
      <c r="E23" s="9"/>
      <c r="F23" s="10"/>
      <c r="G23" s="9"/>
      <c r="H23" s="9"/>
      <c r="I23" s="10"/>
      <c r="J23" s="10"/>
      <c r="K23" s="9"/>
      <c r="L23" s="10"/>
      <c r="M23" s="9"/>
      <c r="N23" s="9"/>
    </row>
    <row r="24" spans="1:14" ht="12" customHeight="1">
      <c r="A24" s="7" t="s">
        <v>30</v>
      </c>
      <c r="B24" s="9"/>
      <c r="C24" s="10"/>
      <c r="D24" s="9"/>
      <c r="E24" s="9"/>
      <c r="F24" s="10"/>
      <c r="G24" s="9"/>
      <c r="H24" s="9"/>
      <c r="I24" s="10"/>
      <c r="J24" s="10"/>
      <c r="K24" s="9"/>
      <c r="L24" s="10"/>
      <c r="M24" s="9"/>
      <c r="N24" s="9"/>
    </row>
    <row r="25" spans="1:14" ht="12" customHeight="1">
      <c r="A25" t="s">
        <v>29</v>
      </c>
      <c r="B25" s="15">
        <f>32642+637+797</f>
        <v>34076</v>
      </c>
      <c r="C25" s="15">
        <f>1091+505+28348</f>
        <v>29944</v>
      </c>
      <c r="D25" s="15">
        <f>967+987+46641</f>
        <v>48595</v>
      </c>
      <c r="E25" s="14">
        <f>880+642+25500</f>
        <v>27022</v>
      </c>
      <c r="F25" s="15">
        <f>982+35954+827</f>
        <v>37763</v>
      </c>
      <c r="G25" s="14">
        <f>41518+415+918</f>
        <v>42851</v>
      </c>
      <c r="H25" s="14">
        <f>43710+263+973</f>
        <v>44946</v>
      </c>
      <c r="I25" s="15">
        <f>1078+34390+817</f>
        <v>36285</v>
      </c>
      <c r="J25" s="15">
        <f>964+939+41379</f>
        <v>43282</v>
      </c>
      <c r="K25" s="14">
        <f>1145+67+30081</f>
        <v>31293</v>
      </c>
      <c r="L25" s="15">
        <f>790+624+47521</f>
        <v>48935</v>
      </c>
      <c r="M25" s="15">
        <f>833+1041+51832</f>
        <v>53706</v>
      </c>
      <c r="N25" s="14">
        <f>SUM(B25:M25)</f>
        <v>478698</v>
      </c>
    </row>
    <row r="26" spans="1:14" ht="12" customHeight="1">
      <c r="A26" t="s">
        <v>18</v>
      </c>
      <c r="B26" s="9">
        <f aca="true" t="shared" si="3" ref="B26:M26">SUM(B25:B25)</f>
        <v>34076</v>
      </c>
      <c r="C26" s="10">
        <f t="shared" si="3"/>
        <v>29944</v>
      </c>
      <c r="D26" s="9">
        <f t="shared" si="3"/>
        <v>48595</v>
      </c>
      <c r="E26" s="9">
        <f t="shared" si="3"/>
        <v>27022</v>
      </c>
      <c r="F26" s="10">
        <f t="shared" si="3"/>
        <v>37763</v>
      </c>
      <c r="G26" s="9">
        <f t="shared" si="3"/>
        <v>42851</v>
      </c>
      <c r="H26" s="9">
        <f t="shared" si="3"/>
        <v>44946</v>
      </c>
      <c r="I26" s="10">
        <f t="shared" si="3"/>
        <v>36285</v>
      </c>
      <c r="J26" s="10">
        <f t="shared" si="3"/>
        <v>43282</v>
      </c>
      <c r="K26" s="9">
        <f t="shared" si="3"/>
        <v>31293</v>
      </c>
      <c r="L26" s="10">
        <f t="shared" si="3"/>
        <v>48935</v>
      </c>
      <c r="M26" s="9">
        <f t="shared" si="3"/>
        <v>53706</v>
      </c>
      <c r="N26" s="9">
        <f>SUM(B26:M26)</f>
        <v>478698</v>
      </c>
    </row>
    <row r="27" spans="2:14" ht="12" customHeight="1">
      <c r="B27" s="9"/>
      <c r="C27" s="10"/>
      <c r="D27" s="9"/>
      <c r="E27" s="9"/>
      <c r="F27" s="10"/>
      <c r="G27" s="9"/>
      <c r="H27" s="9"/>
      <c r="I27" s="10"/>
      <c r="J27" s="10"/>
      <c r="K27" s="9"/>
      <c r="L27" s="10"/>
      <c r="M27" s="9"/>
      <c r="N27" s="9"/>
    </row>
    <row r="28" spans="1:14" ht="12" customHeight="1">
      <c r="A28" s="7" t="s">
        <v>31</v>
      </c>
      <c r="B28" s="9"/>
      <c r="C28" s="10"/>
      <c r="D28" s="9"/>
      <c r="E28" s="9"/>
      <c r="F28" s="10"/>
      <c r="G28" s="9"/>
      <c r="H28" s="9"/>
      <c r="I28" s="10"/>
      <c r="J28" s="10"/>
      <c r="K28" s="9"/>
      <c r="L28" s="10"/>
      <c r="M28" s="9"/>
      <c r="N28" s="9"/>
    </row>
    <row r="29" spans="1:16" ht="12" customHeight="1">
      <c r="A29" t="s">
        <v>32</v>
      </c>
      <c r="B29" s="9">
        <v>0</v>
      </c>
      <c r="C29" s="10">
        <v>4</v>
      </c>
      <c r="D29" s="9">
        <v>18</v>
      </c>
      <c r="E29" s="10">
        <v>0</v>
      </c>
      <c r="F29" s="10">
        <v>4</v>
      </c>
      <c r="G29" s="9">
        <v>4</v>
      </c>
      <c r="H29" s="9">
        <v>6</v>
      </c>
      <c r="I29" s="10">
        <v>6</v>
      </c>
      <c r="J29" s="10">
        <v>4</v>
      </c>
      <c r="K29" s="9">
        <v>0</v>
      </c>
      <c r="L29" s="10">
        <v>4</v>
      </c>
      <c r="M29" s="9">
        <v>0</v>
      </c>
      <c r="N29" s="9">
        <f aca="true" t="shared" si="4" ref="N29:N34">SUM(B29:M29)</f>
        <v>50</v>
      </c>
      <c r="P29" t="s">
        <v>33</v>
      </c>
    </row>
    <row r="30" spans="1:16" ht="12" customHeight="1">
      <c r="A30" t="s">
        <v>34</v>
      </c>
      <c r="B30" s="9">
        <v>657</v>
      </c>
      <c r="C30" s="10">
        <v>586</v>
      </c>
      <c r="D30" s="9">
        <v>735</v>
      </c>
      <c r="E30" s="10">
        <v>668</v>
      </c>
      <c r="F30" s="10">
        <v>714</v>
      </c>
      <c r="G30" s="9">
        <v>741</v>
      </c>
      <c r="H30" s="9">
        <v>766</v>
      </c>
      <c r="I30" s="10">
        <v>728</v>
      </c>
      <c r="J30" s="10">
        <v>685</v>
      </c>
      <c r="K30" s="9">
        <v>702</v>
      </c>
      <c r="L30" s="10">
        <v>653</v>
      </c>
      <c r="M30" s="9">
        <v>650</v>
      </c>
      <c r="N30" s="9">
        <f t="shared" si="4"/>
        <v>8285</v>
      </c>
      <c r="P30" t="s">
        <v>35</v>
      </c>
    </row>
    <row r="31" spans="1:16" ht="12" customHeight="1">
      <c r="A31" t="s">
        <v>36</v>
      </c>
      <c r="B31" s="9">
        <v>328</v>
      </c>
      <c r="C31" s="10">
        <v>315</v>
      </c>
      <c r="D31" s="9">
        <v>589</v>
      </c>
      <c r="E31" s="10">
        <v>543</v>
      </c>
      <c r="F31" s="10">
        <v>787</v>
      </c>
      <c r="G31" s="9">
        <v>916</v>
      </c>
      <c r="H31" s="9">
        <v>1175</v>
      </c>
      <c r="I31" s="10">
        <v>1151</v>
      </c>
      <c r="J31" s="10">
        <v>797</v>
      </c>
      <c r="K31" s="9">
        <v>757</v>
      </c>
      <c r="L31" s="10">
        <v>597</v>
      </c>
      <c r="M31" s="9">
        <v>396</v>
      </c>
      <c r="N31" s="9">
        <f t="shared" si="4"/>
        <v>8351</v>
      </c>
      <c r="P31" t="s">
        <v>37</v>
      </c>
    </row>
    <row r="32" spans="1:16" ht="12" customHeight="1">
      <c r="A32" t="s">
        <v>38</v>
      </c>
      <c r="B32" s="20">
        <v>3</v>
      </c>
      <c r="C32" s="21">
        <f>9+14</f>
        <v>23</v>
      </c>
      <c r="D32" s="20">
        <f>13+6</f>
        <v>19</v>
      </c>
      <c r="E32" s="21">
        <f>20+0</f>
        <v>20</v>
      </c>
      <c r="F32" s="21">
        <f>21+18</f>
        <v>39</v>
      </c>
      <c r="G32" s="20">
        <f>21+20</f>
        <v>41</v>
      </c>
      <c r="H32" s="20">
        <f>28+8</f>
        <v>36</v>
      </c>
      <c r="I32" s="21">
        <f>57+46</f>
        <v>103</v>
      </c>
      <c r="J32" s="21">
        <f>43+36</f>
        <v>79</v>
      </c>
      <c r="K32" s="20">
        <f>53+61</f>
        <v>114</v>
      </c>
      <c r="L32" s="21">
        <f>38+52</f>
        <v>90</v>
      </c>
      <c r="M32" s="20">
        <f>32+12</f>
        <v>44</v>
      </c>
      <c r="N32" s="20">
        <f t="shared" si="4"/>
        <v>611</v>
      </c>
      <c r="P32" t="s">
        <v>39</v>
      </c>
    </row>
    <row r="33" spans="1:16" ht="12" customHeight="1">
      <c r="A33" t="s">
        <v>40</v>
      </c>
      <c r="B33" s="9">
        <v>222</v>
      </c>
      <c r="C33" s="10">
        <v>144</v>
      </c>
      <c r="D33" s="9">
        <v>528</v>
      </c>
      <c r="E33" s="10">
        <v>579</v>
      </c>
      <c r="F33" s="10">
        <v>1048</v>
      </c>
      <c r="G33" s="9">
        <v>1300</v>
      </c>
      <c r="H33" s="9">
        <v>1473</v>
      </c>
      <c r="I33" s="10">
        <v>1118</v>
      </c>
      <c r="J33" s="10">
        <v>868</v>
      </c>
      <c r="K33" s="9">
        <v>722</v>
      </c>
      <c r="L33" s="10">
        <v>415</v>
      </c>
      <c r="M33" s="9">
        <v>276</v>
      </c>
      <c r="N33" s="9">
        <f t="shared" si="4"/>
        <v>8693</v>
      </c>
      <c r="P33" t="s">
        <v>41</v>
      </c>
    </row>
    <row r="34" spans="1:14" ht="12" customHeight="1">
      <c r="A34" t="s">
        <v>42</v>
      </c>
      <c r="B34" s="22">
        <f aca="true" t="shared" si="5" ref="B34:M34">SUM(B29:B33)</f>
        <v>1210</v>
      </c>
      <c r="C34" s="23">
        <f t="shared" si="5"/>
        <v>1072</v>
      </c>
      <c r="D34" s="22">
        <f t="shared" si="5"/>
        <v>1889</v>
      </c>
      <c r="E34" s="22">
        <f t="shared" si="5"/>
        <v>1810</v>
      </c>
      <c r="F34" s="23">
        <f t="shared" si="5"/>
        <v>2592</v>
      </c>
      <c r="G34" s="22">
        <f t="shared" si="5"/>
        <v>3002</v>
      </c>
      <c r="H34" s="22">
        <f t="shared" si="5"/>
        <v>3456</v>
      </c>
      <c r="I34" s="23">
        <f t="shared" si="5"/>
        <v>3106</v>
      </c>
      <c r="J34" s="23">
        <f t="shared" si="5"/>
        <v>2433</v>
      </c>
      <c r="K34" s="22">
        <f t="shared" si="5"/>
        <v>2295</v>
      </c>
      <c r="L34" s="23">
        <f t="shared" si="5"/>
        <v>1759</v>
      </c>
      <c r="M34" s="22">
        <f t="shared" si="5"/>
        <v>1366</v>
      </c>
      <c r="N34" s="22">
        <f t="shared" si="4"/>
        <v>25990</v>
      </c>
    </row>
    <row r="35" spans="3:12" ht="12" customHeight="1">
      <c r="C35" s="3"/>
      <c r="I35" s="3"/>
      <c r="J35" s="3"/>
      <c r="L35" s="3"/>
    </row>
    <row r="36" spans="1:12" ht="12" customHeight="1">
      <c r="A36" s="7" t="s">
        <v>43</v>
      </c>
      <c r="C36" s="3"/>
      <c r="I36" s="3"/>
      <c r="J36" s="3"/>
      <c r="L36" s="3"/>
    </row>
    <row r="37" spans="1:14" ht="12" customHeight="1">
      <c r="A37" s="7" t="s">
        <v>44</v>
      </c>
      <c r="B37" s="24"/>
      <c r="C37" s="3"/>
      <c r="I37" s="3"/>
      <c r="J37" s="3"/>
      <c r="L37" s="3"/>
      <c r="N37" s="25"/>
    </row>
    <row r="38" spans="1:14" ht="12" customHeight="1">
      <c r="A38" s="26" t="s">
        <v>45</v>
      </c>
      <c r="C38" s="3"/>
      <c r="G38" s="3"/>
      <c r="H38" s="3"/>
      <c r="I38" s="3"/>
      <c r="J38" s="3"/>
      <c r="K38" s="3"/>
      <c r="L38" s="3"/>
      <c r="M38" s="3"/>
      <c r="N38">
        <f>SUM(B38:M38)</f>
        <v>0</v>
      </c>
    </row>
    <row r="39" spans="1:14" ht="12" customHeight="1">
      <c r="A39" s="26" t="s">
        <v>46</v>
      </c>
      <c r="B39">
        <v>2768700</v>
      </c>
      <c r="C39" s="3">
        <f>1068600+1695000</f>
        <v>2763600</v>
      </c>
      <c r="D39">
        <f>1274100+1762800</f>
        <v>3036900</v>
      </c>
      <c r="E39">
        <v>3184800</v>
      </c>
      <c r="F39" s="3">
        <v>3199200</v>
      </c>
      <c r="G39" s="3">
        <f>1068600+2135700</f>
        <v>3204300</v>
      </c>
      <c r="H39" s="3">
        <v>3378300</v>
      </c>
      <c r="I39" s="3">
        <v>3231300</v>
      </c>
      <c r="J39" s="3">
        <v>2995800</v>
      </c>
      <c r="K39" s="3">
        <v>3322500</v>
      </c>
      <c r="L39" s="3">
        <f>1233000+1762800</f>
        <v>2995800</v>
      </c>
      <c r="M39" s="3">
        <v>3349200</v>
      </c>
      <c r="N39">
        <f>SUM(B39:M39)</f>
        <v>37430400</v>
      </c>
    </row>
    <row r="40" spans="1:14" ht="12" customHeight="1">
      <c r="A40" s="7" t="s">
        <v>47</v>
      </c>
      <c r="B40" s="24"/>
      <c r="C40" s="3"/>
      <c r="I40" s="3"/>
      <c r="L40" s="3"/>
      <c r="N40" s="25"/>
    </row>
    <row r="41" spans="1:14" ht="12" customHeight="1">
      <c r="A41" s="26" t="s">
        <v>48</v>
      </c>
      <c r="B41">
        <v>114000</v>
      </c>
      <c r="C41" s="3">
        <v>28500</v>
      </c>
      <c r="D41">
        <v>28500</v>
      </c>
      <c r="G41" s="3"/>
      <c r="H41" s="3"/>
      <c r="I41" s="3"/>
      <c r="J41" s="3"/>
      <c r="K41" s="3"/>
      <c r="L41" s="3"/>
      <c r="M41" s="3"/>
      <c r="N41">
        <f>SUM(B41:M41)</f>
        <v>171000</v>
      </c>
    </row>
    <row r="42" spans="1:14" ht="12" customHeight="1">
      <c r="A42" s="26" t="s">
        <v>49</v>
      </c>
      <c r="B42">
        <v>4324000</v>
      </c>
      <c r="C42" s="3">
        <v>4136000</v>
      </c>
      <c r="D42">
        <v>4935000</v>
      </c>
      <c r="E42">
        <v>4935000</v>
      </c>
      <c r="F42" s="3">
        <v>4747000</v>
      </c>
      <c r="G42" s="3">
        <v>5264000</v>
      </c>
      <c r="H42" s="3">
        <v>5734000</v>
      </c>
      <c r="I42" s="3">
        <f>5640000+75100</f>
        <v>5715100</v>
      </c>
      <c r="J42" s="3">
        <v>5076000</v>
      </c>
      <c r="K42" s="3">
        <v>5123000</v>
      </c>
      <c r="L42" s="3">
        <v>4747000</v>
      </c>
      <c r="M42" s="3">
        <v>3948000</v>
      </c>
      <c r="N42">
        <f>SUM(B42:M42)</f>
        <v>58684100</v>
      </c>
    </row>
    <row r="43" spans="1:14" ht="12" customHeight="1">
      <c r="A43" s="27" t="s">
        <v>50</v>
      </c>
      <c r="B43" s="24"/>
      <c r="C43" s="3"/>
      <c r="I43" s="3"/>
      <c r="L43" s="3"/>
      <c r="N43" s="25"/>
    </row>
    <row r="44" spans="1:14" ht="12" customHeight="1">
      <c r="A44" s="26" t="s">
        <v>51</v>
      </c>
      <c r="C44" s="3"/>
      <c r="I44" s="3"/>
      <c r="L44" s="3"/>
      <c r="M44" s="3"/>
      <c r="N44">
        <f>SUM(B44:M44)</f>
        <v>0</v>
      </c>
    </row>
    <row r="45" spans="1:14" ht="12" customHeight="1">
      <c r="A45" s="26" t="s">
        <v>52</v>
      </c>
      <c r="B45">
        <v>3381000</v>
      </c>
      <c r="C45" s="3">
        <v>2760000</v>
      </c>
      <c r="D45">
        <v>3346500</v>
      </c>
      <c r="E45">
        <v>3208500</v>
      </c>
      <c r="F45" s="3">
        <v>3243000</v>
      </c>
      <c r="G45" s="3">
        <v>3630000</v>
      </c>
      <c r="H45" s="3">
        <v>3576000</v>
      </c>
      <c r="I45" s="3">
        <v>3499500</v>
      </c>
      <c r="J45" s="3">
        <v>3361500</v>
      </c>
      <c r="K45" s="3">
        <v>3346500</v>
      </c>
      <c r="L45" s="3">
        <v>3147000</v>
      </c>
      <c r="M45" s="3">
        <v>3423000</v>
      </c>
      <c r="N45">
        <f>SUM(B45:M45)</f>
        <v>39922500</v>
      </c>
    </row>
    <row r="46" spans="1:14" ht="12" customHeight="1">
      <c r="A46" s="7" t="s">
        <v>53</v>
      </c>
      <c r="C46" s="3"/>
      <c r="I46" s="3"/>
      <c r="L46" s="3"/>
      <c r="N46" s="25"/>
    </row>
    <row r="47" spans="1:14" ht="12" customHeight="1">
      <c r="A47" s="28" t="s">
        <v>54</v>
      </c>
      <c r="C47" s="3">
        <v>117000</v>
      </c>
      <c r="D47">
        <f>162040+162040+138500+117000</f>
        <v>579580</v>
      </c>
      <c r="F47" s="3">
        <v>117000</v>
      </c>
      <c r="G47" s="3"/>
      <c r="H47" s="3">
        <v>117000</v>
      </c>
      <c r="I47" s="3">
        <v>117000</v>
      </c>
      <c r="J47" s="29">
        <v>117000</v>
      </c>
      <c r="K47" s="29">
        <v>0</v>
      </c>
      <c r="L47" s="29">
        <v>117000</v>
      </c>
      <c r="M47" s="29">
        <v>0</v>
      </c>
      <c r="N47">
        <f>SUM(B47:M47)</f>
        <v>1281580</v>
      </c>
    </row>
    <row r="48" spans="1:14" ht="12" customHeight="1">
      <c r="A48" s="28" t="s">
        <v>55</v>
      </c>
      <c r="C48" s="3"/>
      <c r="G48" s="3">
        <v>140000</v>
      </c>
      <c r="H48" s="3"/>
      <c r="I48" s="3"/>
      <c r="J48" s="29"/>
      <c r="K48" s="29"/>
      <c r="L48" s="29"/>
      <c r="M48" s="26"/>
      <c r="N48">
        <f>SUM(B48:M48)</f>
        <v>140000</v>
      </c>
    </row>
    <row r="49" spans="1:14" ht="12" customHeight="1">
      <c r="A49" s="7" t="s">
        <v>56</v>
      </c>
      <c r="C49" s="3"/>
      <c r="I49" s="3"/>
      <c r="L49" s="3"/>
      <c r="N49" s="25"/>
    </row>
    <row r="50" spans="1:14" ht="12" customHeight="1">
      <c r="A50" t="s">
        <v>57</v>
      </c>
      <c r="B50" s="30">
        <v>221000</v>
      </c>
      <c r="C50" s="30">
        <v>212500</v>
      </c>
      <c r="D50" s="31">
        <v>272000</v>
      </c>
      <c r="E50" s="30">
        <v>229500</v>
      </c>
      <c r="F50" s="30">
        <v>246500</v>
      </c>
      <c r="G50" s="30">
        <v>280500</v>
      </c>
      <c r="H50" s="30">
        <v>280500</v>
      </c>
      <c r="I50" s="30">
        <v>263500</v>
      </c>
      <c r="J50" s="30">
        <v>238000</v>
      </c>
      <c r="K50" s="30">
        <v>204000</v>
      </c>
      <c r="L50" s="30">
        <v>280500</v>
      </c>
      <c r="M50" s="30">
        <v>323000</v>
      </c>
      <c r="N50" s="31">
        <f>SUM(B50:M50)</f>
        <v>3051500</v>
      </c>
    </row>
    <row r="51" spans="1:14" ht="12" customHeight="1">
      <c r="A51" t="s">
        <v>58</v>
      </c>
      <c r="B51" s="32"/>
      <c r="C51" s="32"/>
      <c r="D51" s="19"/>
      <c r="E51" s="19"/>
      <c r="F51" s="32"/>
      <c r="G51" s="19"/>
      <c r="H51" s="19"/>
      <c r="I51" s="32"/>
      <c r="J51" s="19"/>
      <c r="K51" s="19"/>
      <c r="L51" s="32"/>
      <c r="M51" s="19"/>
      <c r="N51" s="19">
        <f>SUM(B51:M51)</f>
        <v>0</v>
      </c>
    </row>
    <row r="52" spans="1:14" ht="12" customHeight="1">
      <c r="A52" t="s">
        <v>18</v>
      </c>
      <c r="B52">
        <f aca="true" t="shared" si="6" ref="B52:M52">SUM(B38:B51)</f>
        <v>10808700</v>
      </c>
      <c r="C52">
        <f t="shared" si="6"/>
        <v>10017600</v>
      </c>
      <c r="D52">
        <f t="shared" si="6"/>
        <v>12198480</v>
      </c>
      <c r="E52">
        <f t="shared" si="6"/>
        <v>11557800</v>
      </c>
      <c r="F52" s="3">
        <f t="shared" si="6"/>
        <v>11552700</v>
      </c>
      <c r="G52">
        <f t="shared" si="6"/>
        <v>12518800</v>
      </c>
      <c r="H52">
        <f t="shared" si="6"/>
        <v>13085800</v>
      </c>
      <c r="I52" s="3">
        <f t="shared" si="6"/>
        <v>12826400</v>
      </c>
      <c r="J52">
        <f t="shared" si="6"/>
        <v>11788300</v>
      </c>
      <c r="K52">
        <f t="shared" si="6"/>
        <v>11996000</v>
      </c>
      <c r="L52" s="3">
        <f t="shared" si="6"/>
        <v>11287300</v>
      </c>
      <c r="M52">
        <f t="shared" si="6"/>
        <v>11043200</v>
      </c>
      <c r="N52">
        <f>SUM(B52:M52)</f>
        <v>140681080</v>
      </c>
    </row>
    <row r="53" spans="9:14" ht="12.75">
      <c r="I53" s="3"/>
      <c r="L53" s="3"/>
      <c r="N53">
        <f>SUM(N38:N51)</f>
        <v>140681080</v>
      </c>
    </row>
    <row r="54" spans="9:12" ht="12.75">
      <c r="I54" s="3"/>
      <c r="L54" s="3"/>
    </row>
    <row r="55" ht="12.75">
      <c r="L55" s="3"/>
    </row>
  </sheetData>
  <mergeCells count="3">
    <mergeCell ref="A1:N1"/>
    <mergeCell ref="A2:N2"/>
    <mergeCell ref="A3:N3"/>
  </mergeCells>
  <printOptions/>
  <pageMargins left="0.5" right="0.5" top="0.25" bottom="0.29" header="0.25" footer="0.16"/>
  <pageSetup fitToHeight="1" fitToWidth="1" horizontalDpi="1200" verticalDpi="1200" orientation="landscape" scale="86" r:id="rId3"/>
  <headerFooter alignWithMargins="0">
    <oddHeader>&amp;R&amp;"Comic Sans MS,Regular"&amp;8prepared by: Sheilah Bruno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Regional Airport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Sheilah Bruno</dc:creator>
  <cp:keywords/>
  <dc:description/>
  <cp:lastModifiedBy>Sheilah Bruno</cp:lastModifiedBy>
  <dcterms:created xsi:type="dcterms:W3CDTF">2012-01-12T21:32:06Z</dcterms:created>
  <dcterms:modified xsi:type="dcterms:W3CDTF">2012-01-12T21:32:23Z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