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Stats 2016" sheetId="1" r:id="rId1"/>
  </sheets>
  <definedNames>
    <definedName name="_Order1" hidden="1">255</definedName>
    <definedName name="_Order2" hidden="1">255</definedName>
    <definedName name="_xlnm.Print_Area" localSheetId="0">'Stats 2016'!$A$1:$P$52</definedName>
    <definedName name="_xlnm.Print_Titles">#N/A</definedName>
  </definedNames>
  <calcPr calcId="145621"/>
</workbook>
</file>

<file path=xl/calcChain.xml><?xml version="1.0" encoding="utf-8"?>
<calcChain xmlns="http://schemas.openxmlformats.org/spreadsheetml/2006/main">
  <c r="M52" i="1" l="1"/>
  <c r="H52" i="1"/>
  <c r="G52" i="1"/>
  <c r="F52" i="1"/>
  <c r="E52" i="1"/>
  <c r="D52" i="1"/>
  <c r="C52" i="1"/>
  <c r="B52" i="1"/>
  <c r="N51" i="1"/>
  <c r="N50" i="1"/>
  <c r="N48" i="1"/>
  <c r="N47" i="1"/>
  <c r="N45" i="1"/>
  <c r="N44" i="1"/>
  <c r="N42" i="1"/>
  <c r="N41" i="1"/>
  <c r="K39" i="1"/>
  <c r="J39" i="1"/>
  <c r="J52" i="1" s="1"/>
  <c r="I39" i="1"/>
  <c r="I52" i="1" s="1"/>
  <c r="L38" i="1"/>
  <c r="L52" i="1" s="1"/>
  <c r="K38" i="1"/>
  <c r="N38" i="1" s="1"/>
  <c r="K34" i="1"/>
  <c r="G34" i="1"/>
  <c r="C34" i="1"/>
  <c r="N33" i="1"/>
  <c r="M32" i="1"/>
  <c r="M34" i="1" s="1"/>
  <c r="L32" i="1"/>
  <c r="L34" i="1" s="1"/>
  <c r="K32" i="1"/>
  <c r="J32" i="1"/>
  <c r="J34" i="1" s="1"/>
  <c r="I32" i="1"/>
  <c r="I34" i="1" s="1"/>
  <c r="H32" i="1"/>
  <c r="H34" i="1" s="1"/>
  <c r="G32" i="1"/>
  <c r="F32" i="1"/>
  <c r="F34" i="1" s="1"/>
  <c r="E32" i="1"/>
  <c r="E34" i="1" s="1"/>
  <c r="D32" i="1"/>
  <c r="D34" i="1" s="1"/>
  <c r="C32" i="1"/>
  <c r="B32" i="1"/>
  <c r="B34" i="1" s="1"/>
  <c r="N31" i="1"/>
  <c r="N30" i="1"/>
  <c r="N29" i="1"/>
  <c r="M26" i="1"/>
  <c r="K26" i="1"/>
  <c r="I26" i="1"/>
  <c r="G26" i="1"/>
  <c r="E26" i="1"/>
  <c r="C26" i="1"/>
  <c r="M25" i="1"/>
  <c r="L25" i="1"/>
  <c r="L26" i="1" s="1"/>
  <c r="K25" i="1"/>
  <c r="J25" i="1"/>
  <c r="J26" i="1" s="1"/>
  <c r="I25" i="1"/>
  <c r="H25" i="1"/>
  <c r="H26" i="1" s="1"/>
  <c r="G25" i="1"/>
  <c r="F25" i="1"/>
  <c r="F26" i="1" s="1"/>
  <c r="E25" i="1"/>
  <c r="D25" i="1"/>
  <c r="D26" i="1" s="1"/>
  <c r="C25" i="1"/>
  <c r="B25" i="1"/>
  <c r="B26" i="1" s="1"/>
  <c r="M22" i="1"/>
  <c r="L22" i="1"/>
  <c r="J22" i="1"/>
  <c r="I22" i="1"/>
  <c r="G22" i="1"/>
  <c r="E22" i="1"/>
  <c r="C22" i="1"/>
  <c r="M21" i="1"/>
  <c r="K21" i="1"/>
  <c r="K22" i="1" s="1"/>
  <c r="H21" i="1"/>
  <c r="H22" i="1" s="1"/>
  <c r="F21" i="1"/>
  <c r="F22" i="1" s="1"/>
  <c r="E21" i="1"/>
  <c r="D21" i="1"/>
  <c r="D22" i="1" s="1"/>
  <c r="C21" i="1"/>
  <c r="B21" i="1"/>
  <c r="B22" i="1" s="1"/>
  <c r="M18" i="1"/>
  <c r="K18" i="1"/>
  <c r="J18" i="1"/>
  <c r="I18" i="1"/>
  <c r="H18" i="1"/>
  <c r="G18" i="1"/>
  <c r="F18" i="1"/>
  <c r="E18" i="1"/>
  <c r="D18" i="1"/>
  <c r="C18" i="1"/>
  <c r="B18" i="1"/>
  <c r="N17" i="1"/>
  <c r="N16" i="1"/>
  <c r="N15" i="1"/>
  <c r="A15" i="1"/>
  <c r="L14" i="1"/>
  <c r="N14" i="1" s="1"/>
  <c r="K14" i="1"/>
  <c r="M11" i="1"/>
  <c r="K11" i="1"/>
  <c r="J11" i="1"/>
  <c r="I11" i="1"/>
  <c r="H11" i="1"/>
  <c r="G11" i="1"/>
  <c r="F11" i="1"/>
  <c r="E11" i="1"/>
  <c r="D11" i="1"/>
  <c r="C11" i="1"/>
  <c r="B11" i="1"/>
  <c r="N10" i="1"/>
  <c r="N9" i="1"/>
  <c r="N8" i="1"/>
  <c r="N7" i="1"/>
  <c r="L7" i="1"/>
  <c r="L11" i="1" s="1"/>
  <c r="K7" i="1"/>
  <c r="O9" i="1" l="1"/>
  <c r="N26" i="1"/>
  <c r="O7" i="1"/>
  <c r="N22" i="1"/>
  <c r="N34" i="1"/>
  <c r="P7" i="1"/>
  <c r="P8" i="1"/>
  <c r="N25" i="1"/>
  <c r="K52" i="1"/>
  <c r="N52" i="1" s="1"/>
  <c r="Q7" i="1"/>
  <c r="N11" i="1"/>
  <c r="L18" i="1"/>
  <c r="N18" i="1" s="1"/>
  <c r="N32" i="1"/>
  <c r="N21" i="1"/>
  <c r="N39" i="1"/>
  <c r="N53" i="1" s="1"/>
  <c r="O15" i="1" l="1"/>
  <c r="P15" i="1"/>
  <c r="P14" i="1"/>
  <c r="P18" i="1" s="1"/>
  <c r="O16" i="1"/>
  <c r="O14" i="1"/>
  <c r="P17" i="1"/>
  <c r="O17" i="1"/>
  <c r="Q11" i="1"/>
  <c r="P10" i="1"/>
  <c r="P11" i="1" s="1"/>
  <c r="O10" i="1"/>
  <c r="Q10" i="1"/>
  <c r="Q8" i="1"/>
  <c r="Q9" i="1"/>
  <c r="O8" i="1"/>
  <c r="O11" i="1" s="1"/>
  <c r="O18" i="1" l="1"/>
</calcChain>
</file>

<file path=xl/comments1.xml><?xml version="1.0" encoding="utf-8"?>
<comments xmlns="http://schemas.openxmlformats.org/spreadsheetml/2006/main">
  <authors>
    <author>Don Tanner</author>
    <author>Erie Municipal Airport Authority</author>
  </authors>
  <commentList>
    <comment ref="A6" authorId="0">
      <text>
        <r>
          <rPr>
            <sz val="8"/>
            <color indexed="81"/>
            <rFont val="Tahoma"/>
            <family val="2"/>
          </rPr>
          <t>People count</t>
        </r>
      </text>
    </comment>
    <comment ref="A20" authorId="0">
      <text>
        <r>
          <rPr>
            <b/>
            <sz val="8"/>
            <color indexed="81"/>
            <rFont val="Tahoma"/>
            <family val="2"/>
          </rPr>
          <t>Don Tanner:</t>
        </r>
        <r>
          <rPr>
            <sz val="8"/>
            <color indexed="81"/>
            <rFont val="Tahoma"/>
            <family val="2"/>
          </rPr>
          <t xml:space="preserve">
weight in pounds
"enplaned"</t>
        </r>
      </text>
    </comment>
    <comment ref="A21" authorId="1">
      <text>
        <r>
          <rPr>
            <b/>
            <sz val="8"/>
            <color indexed="81"/>
            <rFont val="Tahoma"/>
            <family val="2"/>
          </rPr>
          <t>Erie Municipal Airport Authority:</t>
        </r>
        <r>
          <rPr>
            <sz val="8"/>
            <color indexed="81"/>
            <rFont val="Tahoma"/>
            <family val="2"/>
          </rPr>
          <t xml:space="preserve">
NW,USAir,Comair</t>
        </r>
      </text>
    </comment>
    <comment ref="A24" authorId="0">
      <text>
        <r>
          <rPr>
            <sz val="8"/>
            <color indexed="81"/>
            <rFont val="Tahoma"/>
            <family val="2"/>
          </rPr>
          <t>weight in pounds
"deplaned"</t>
        </r>
      </text>
    </comment>
    <comment ref="A25" authorId="1">
      <text>
        <r>
          <rPr>
            <b/>
            <sz val="8"/>
            <color indexed="81"/>
            <rFont val="Tahoma"/>
            <family val="2"/>
          </rPr>
          <t>Erie Municipal Airport Authority:</t>
        </r>
        <r>
          <rPr>
            <sz val="8"/>
            <color indexed="81"/>
            <rFont val="Tahoma"/>
            <family val="2"/>
          </rPr>
          <t xml:space="preserve">
MtnAir Cargo (off) deplaned
+ Mesaba
+ Delta (Comair)</t>
        </r>
      </text>
    </comment>
    <comment ref="A28" authorId="1">
      <text>
        <r>
          <rPr>
            <b/>
            <sz val="8"/>
            <color indexed="81"/>
            <rFont val="Tahoma"/>
            <family val="2"/>
          </rPr>
          <t>Erie Municipal Airport Authority:</t>
        </r>
        <r>
          <rPr>
            <sz val="8"/>
            <color indexed="81"/>
            <rFont val="Tahoma"/>
            <family val="2"/>
          </rPr>
          <t xml:space="preserve">
This report comes from Patty at the FAA.</t>
        </r>
      </text>
    </comment>
    <comment ref="A29" authorId="1">
      <text>
        <r>
          <rPr>
            <sz val="8"/>
            <color indexed="81"/>
            <rFont val="Tahoma"/>
            <family val="2"/>
          </rPr>
          <t>AC (17-21)
Spcl Charters: i.e. (gamblers/Mercyhurst)</t>
        </r>
      </text>
    </comment>
    <comment ref="A30" authorId="1">
      <text>
        <r>
          <rPr>
            <sz val="8"/>
            <color indexed="81"/>
            <rFont val="Tahoma"/>
            <family val="2"/>
          </rPr>
          <t>AT (22-26)
Major Carriers &amp;
FedEx</t>
        </r>
      </text>
    </comment>
    <comment ref="A31" authorId="1">
      <text>
        <r>
          <rPr>
            <sz val="8"/>
            <color indexed="81"/>
            <rFont val="Tahoma"/>
            <family val="2"/>
          </rPr>
          <t>GA (27-31)
GE, Lord etc.</t>
        </r>
      </text>
    </comment>
    <comment ref="A32" authorId="1">
      <text>
        <r>
          <rPr>
            <b/>
            <sz val="8"/>
            <color indexed="81"/>
            <rFont val="Tahoma"/>
            <family val="2"/>
          </rPr>
          <t>Erie Municipal Airport Authority:</t>
        </r>
        <r>
          <rPr>
            <sz val="8"/>
            <color indexed="81"/>
            <rFont val="Tahoma"/>
            <family val="2"/>
          </rPr>
          <t xml:space="preserve">
MI (32-36)  +
Military (42-46)</t>
        </r>
      </text>
    </comment>
    <comment ref="A33" authorId="1">
      <text>
        <r>
          <rPr>
            <sz val="8"/>
            <color indexed="81"/>
            <rFont val="Tahoma"/>
            <family val="2"/>
          </rPr>
          <t xml:space="preserve">Civil (37-41)
Cesna, Flt School, Touch-n-Go.
</t>
        </r>
      </text>
    </comment>
    <comment ref="A34" authorId="1">
      <text>
        <r>
          <rPr>
            <b/>
            <sz val="8"/>
            <color indexed="81"/>
            <rFont val="Tahoma"/>
            <family val="2"/>
          </rPr>
          <t>Erie Municipal Airport Authority:</t>
        </r>
        <r>
          <rPr>
            <sz val="8"/>
            <color indexed="81"/>
            <rFont val="Tahoma"/>
            <family val="2"/>
          </rPr>
          <t xml:space="preserve">
Should match
Total Operations
from Airport Traffic Record.</t>
        </r>
      </text>
    </comment>
    <comment ref="A47" authorId="1">
      <text>
        <r>
          <rPr>
            <sz val="8"/>
            <color indexed="81"/>
            <rFont val="Tahoma"/>
            <family val="2"/>
          </rPr>
          <t>B737=198,076# round trip flight
154,500# B727 flight
B737-200 117,000# (ref. Feb '11 North Coast invoice)
B737-400 138,500#
B737-700 133,001#
Airbus 320 162,040# round trip = 324,080#
MD87 140,000 landing weight</t>
        </r>
      </text>
    </comment>
    <comment ref="A48" authorId="1">
      <text>
        <r>
          <rPr>
            <b/>
            <sz val="8"/>
            <color indexed="81"/>
            <rFont val="Tahoma"/>
            <family val="2"/>
          </rPr>
          <t>MD-83&amp;87 = 139,500</t>
        </r>
      </text>
    </comment>
  </commentList>
</comments>
</file>

<file path=xl/sharedStrings.xml><?xml version="1.0" encoding="utf-8"?>
<sst xmlns="http://schemas.openxmlformats.org/spreadsheetml/2006/main" count="68" uniqueCount="53">
  <si>
    <t>Airport Traffic Statistics Report</t>
  </si>
  <si>
    <t>Erie Municipal Airport Authority</t>
  </si>
  <si>
    <t>% reflects</t>
  </si>
  <si>
    <t>signatory</t>
  </si>
  <si>
    <t>airlines</t>
  </si>
  <si>
    <t xml:space="preserve"> 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</si>
  <si>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</si>
  <si>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</si>
  <si>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</si>
  <si>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</si>
  <si>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</si>
  <si>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</si>
  <si>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</si>
  <si>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</si>
  <si>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</si>
  <si>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</si>
  <si>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</si>
  <si>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</si>
  <si>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Totals</t>
  </si>
  <si>
    <t>(only)</t>
  </si>
  <si>
    <t>ENPLANEMENTS</t>
  </si>
  <si>
    <t>American</t>
  </si>
  <si>
    <t>Delta</t>
  </si>
  <si>
    <t>Charters</t>
  </si>
  <si>
    <t>United</t>
  </si>
  <si>
    <t>DEPLANEMENTS</t>
  </si>
  <si>
    <t>CARGO ON (enplaned)</t>
  </si>
  <si>
    <t xml:space="preserve">Cargo  </t>
  </si>
  <si>
    <t>CARGO OFF (deplaned)</t>
  </si>
  <si>
    <t>OPERATIONS</t>
  </si>
  <si>
    <t>Carrier</t>
  </si>
  <si>
    <t>AC</t>
  </si>
  <si>
    <t>Comm/Taxi</t>
  </si>
  <si>
    <t>AT</t>
  </si>
  <si>
    <t>Civil ITN</t>
  </si>
  <si>
    <t>GA</t>
  </si>
  <si>
    <t>Military</t>
  </si>
  <si>
    <t>MI+Military</t>
  </si>
  <si>
    <t>Civil LOC</t>
  </si>
  <si>
    <t>Civil</t>
  </si>
  <si>
    <t>Total Operations</t>
  </si>
  <si>
    <t>LANDED WEIGHT:</t>
  </si>
  <si>
    <t>CRJ/ERJ</t>
  </si>
  <si>
    <t>DH8-100,200,300</t>
  </si>
  <si>
    <t>SFC / Saab B+</t>
  </si>
  <si>
    <t>CRJ &amp;/or ERJ</t>
  </si>
  <si>
    <t>ERJ/LRJ/XRJ</t>
  </si>
  <si>
    <t>DH8</t>
  </si>
  <si>
    <t>N.Coast B737-200/400/700,AB320</t>
  </si>
  <si>
    <t>Allegiant MD83/87 Republic EMB190</t>
  </si>
  <si>
    <t>Cargo</t>
  </si>
  <si>
    <t>Mountain Air C208</t>
  </si>
  <si>
    <t>CSAAirC208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</si>
</sst>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&quot;$&quot;#,##0_);\(&quot;$&quot;#,##0\)"/>
    <numFmt numFmtId="164" formatCode="0.0%"/>
    <numFmt numFmtId="165" formatCode="mmmm\ d\,\ yyyy"/>
    <numFmt numFmtId="166" formatCode="#,##0.00;[Red]\(#,##0.00\)"/>
  </numFmts>
  <fonts count="14" x14ac:knownFonts="1"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22"/>
      <name val="Arial"/>
      <family val="2"/>
    </font>
    <font>
      <sz val="9"/>
      <name val="Arial"/>
      <family val="2"/>
    </font>
    <font>
      <sz val="8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</patternFill>
    </fill>
    <fill>
      <patternFill patternType="solid">
        <fgColor indexed="13"/>
      </patternFill>
    </fill>
    <fill>
      <patternFill patternType="solid">
        <fgColor indexed="17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5" fontId="1" fillId="0" borderId="0" applyFill="0" applyBorder="0" applyAlignment="0" applyProtection="0"/>
    <xf numFmtId="165" fontId="1" fillId="0" borderId="0" applyFill="0" applyBorder="0" applyAlignment="0" applyProtection="0"/>
    <xf numFmtId="2" fontId="1" fillId="0" borderId="0" applyFill="0" applyBorder="0" applyAlignment="0" applyProtection="0"/>
    <xf numFmtId="166" fontId="9" fillId="3" borderId="0">
      <alignment horizontal="right"/>
    </xf>
    <xf numFmtId="0" fontId="10" fillId="4" borderId="0">
      <alignment horizontal="center"/>
    </xf>
    <xf numFmtId="0" fontId="11" fillId="5" borderId="0"/>
    <xf numFmtId="0" fontId="12" fillId="3" borderId="0" applyBorder="0">
      <alignment horizontal="centerContinuous"/>
    </xf>
    <xf numFmtId="0" fontId="13" fillId="5" borderId="0" applyBorder="0">
      <alignment horizontal="centerContinuous"/>
    </xf>
  </cellStyleXfs>
  <cellXfs count="35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ill="1"/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0" xfId="0" applyFont="1"/>
    <xf numFmtId="0" fontId="1" fillId="0" borderId="0" xfId="0" applyFont="1"/>
    <xf numFmtId="3" fontId="0" fillId="0" borderId="0" xfId="0" applyNumberFormat="1"/>
    <xf numFmtId="3" fontId="0" fillId="0" borderId="0" xfId="0" applyNumberFormat="1" applyFill="1"/>
    <xf numFmtId="164" fontId="1" fillId="0" borderId="0" xfId="1" applyNumberFormat="1"/>
    <xf numFmtId="10" fontId="0" fillId="0" borderId="0" xfId="0" applyNumberFormat="1"/>
    <xf numFmtId="3" fontId="1" fillId="0" borderId="0" xfId="0" applyNumberFormat="1" applyFont="1" applyFill="1"/>
    <xf numFmtId="3" fontId="1" fillId="0" borderId="0" xfId="0" applyNumberFormat="1" applyFont="1"/>
    <xf numFmtId="3" fontId="0" fillId="0" borderId="1" xfId="0" applyNumberFormat="1" applyBorder="1"/>
    <xf numFmtId="3" fontId="0" fillId="0" borderId="1" xfId="0" applyNumberFormat="1" applyFill="1" applyBorder="1"/>
    <xf numFmtId="164" fontId="1" fillId="0" borderId="1" xfId="1" applyNumberFormat="1" applyBorder="1"/>
    <xf numFmtId="164" fontId="0" fillId="0" borderId="0" xfId="0" applyNumberFormat="1"/>
    <xf numFmtId="164" fontId="0" fillId="0" borderId="2" xfId="0" applyNumberFormat="1" applyBorder="1"/>
    <xf numFmtId="0" fontId="0" fillId="0" borderId="1" xfId="0" applyBorder="1"/>
    <xf numFmtId="3" fontId="1" fillId="0" borderId="1" xfId="0" applyNumberFormat="1" applyFont="1" applyFill="1" applyBorder="1"/>
    <xf numFmtId="3" fontId="0" fillId="0" borderId="0" xfId="0" applyNumberFormat="1" applyBorder="1"/>
    <xf numFmtId="3" fontId="0" fillId="0" borderId="0" xfId="0" applyNumberFormat="1" applyFill="1" applyBorder="1"/>
    <xf numFmtId="3" fontId="0" fillId="0" borderId="2" xfId="0" applyNumberFormat="1" applyBorder="1"/>
    <xf numFmtId="3" fontId="0" fillId="0" borderId="2" xfId="0" applyNumberFormat="1" applyFill="1" applyBorder="1"/>
    <xf numFmtId="0" fontId="4" fillId="2" borderId="0" xfId="0" applyFont="1" applyFill="1"/>
    <xf numFmtId="0" fontId="1" fillId="0" borderId="0" xfId="0" applyFont="1" applyFill="1"/>
    <xf numFmtId="0" fontId="3" fillId="0" borderId="0" xfId="0" quotePrefix="1" applyFont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Font="1" applyFill="1"/>
    <xf numFmtId="0" fontId="6" fillId="0" borderId="0" xfId="0" applyFont="1" applyAlignment="1">
      <alignment horizontal="left"/>
    </xf>
    <xf numFmtId="0" fontId="0" fillId="0" borderId="0" xfId="0" applyFill="1" applyBorder="1"/>
    <xf numFmtId="0" fontId="0" fillId="0" borderId="0" xfId="0" applyBorder="1"/>
    <xf numFmtId="0" fontId="0" fillId="0" borderId="1" xfId="0" applyFill="1" applyBorder="1"/>
  </cellXfs>
  <cellStyles count="11">
    <cellStyle name="Comma0" xfId="2"/>
    <cellStyle name="Currency0" xfId="3"/>
    <cellStyle name="Date" xfId="4"/>
    <cellStyle name="Fixed" xfId="5"/>
    <cellStyle name="Normal" xfId="0" builtinId="0"/>
    <cellStyle name="OUTPUT AMOUNTS" xfId="6"/>
    <cellStyle name="OUTPUT COLUMN HEADINGS" xfId="7"/>
    <cellStyle name="OUTPUT LINE ITEMS" xfId="8"/>
    <cellStyle name="OUTPUT REPORT HEADING" xfId="9"/>
    <cellStyle name="OUTPUT REPORT TITLE" xfId="1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55"/>
  <sheetViews>
    <sheetView tabSelected="1" workbookViewId="0">
      <pane xSplit="1" ySplit="5" topLeftCell="B6" activePane="bottomRight" state="frozen"/>
      <selection pane="topRight" activeCell="B1" sqref="B1"/>
      <selection pane="bottomLeft" activeCell="A7" sqref="A7"/>
      <selection pane="bottomRight" sqref="A1:N1"/>
    </sheetView>
  </sheetViews>
  <sheetFormatPr defaultRowHeight="12.75" x14ac:dyDescent="0.2"/>
  <cols>
    <col min="1" max="1" width="20.42578125" customWidth="1"/>
    <col min="6" max="6" width="9.140625" style="3"/>
    <col min="13" max="13" width="8" bestFit="1" customWidth="1"/>
    <col min="14" max="14" width="10" bestFit="1" customWidth="1"/>
    <col min="15" max="15" width="7.28515625" hidden="1" customWidth="1"/>
    <col min="16" max="16" width="9" customWidth="1"/>
  </cols>
  <sheetData>
    <row r="1" spans="1:17" ht="12.7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7" ht="12.75" customHeight="1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P2" s="2" t="s">
        <v>2</v>
      </c>
    </row>
    <row r="3" spans="1:17" ht="12.75" customHeight="1" x14ac:dyDescent="0.25">
      <c r="A3" s="1">
        <v>2016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P3" s="2" t="s">
        <v>3</v>
      </c>
    </row>
    <row r="4" spans="1:17" ht="12" customHeight="1" x14ac:dyDescent="0.2">
      <c r="P4" s="2" t="s">
        <v>4</v>
      </c>
    </row>
    <row r="5" spans="1:17" s="4" customFormat="1" ht="12" customHeight="1" x14ac:dyDescent="0.2">
      <c r="A5" s="4" t="s">
        <v>5</v>
      </c>
      <c r="B5" s="5" t="s">
        <v>6</v>
      </c>
      <c r="C5" s="5" t="s">
        <v>7</v>
      </c>
      <c r="D5" s="5" t="s">
        <v>8</v>
      </c>
      <c r="E5" s="5" t="s">
        <v>9</v>
      </c>
      <c r="F5" s="6" t="s">
        <v>10</v>
      </c>
      <c r="G5" s="5" t="s">
        <v>11</v>
      </c>
      <c r="H5" s="5" t="s">
        <v>12</v>
      </c>
      <c r="I5" s="5" t="s">
        <v>13</v>
      </c>
      <c r="J5" s="5" t="s">
        <v>14</v>
      </c>
      <c r="K5" s="5" t="s">
        <v>15</v>
      </c>
      <c r="L5" s="5" t="s">
        <v>16</v>
      </c>
      <c r="M5" s="5" t="s">
        <v>17</v>
      </c>
      <c r="N5" s="5" t="s">
        <v>18</v>
      </c>
      <c r="P5" s="2" t="s">
        <v>19</v>
      </c>
    </row>
    <row r="6" spans="1:17" ht="12" customHeight="1" x14ac:dyDescent="0.2">
      <c r="A6" s="7" t="s">
        <v>20</v>
      </c>
      <c r="I6" s="3"/>
    </row>
    <row r="7" spans="1:17" ht="12" customHeight="1" x14ac:dyDescent="0.2">
      <c r="A7" s="8" t="s">
        <v>21</v>
      </c>
      <c r="B7" s="9">
        <v>1383</v>
      </c>
      <c r="C7" s="10">
        <v>1325</v>
      </c>
      <c r="D7" s="9">
        <v>1474</v>
      </c>
      <c r="E7" s="9">
        <v>1482</v>
      </c>
      <c r="F7" s="10">
        <v>1557</v>
      </c>
      <c r="G7" s="9">
        <v>1699</v>
      </c>
      <c r="H7" s="9">
        <v>1799</v>
      </c>
      <c r="I7" s="10">
        <v>1915</v>
      </c>
      <c r="J7" s="10">
        <v>1780</v>
      </c>
      <c r="K7" s="9">
        <f>571+1313</f>
        <v>1884</v>
      </c>
      <c r="L7" s="10">
        <f>1012+96</f>
        <v>1108</v>
      </c>
      <c r="M7" s="9">
        <v>890</v>
      </c>
      <c r="N7" s="9">
        <f>SUM(B7:M7)</f>
        <v>18296</v>
      </c>
      <c r="O7" s="11">
        <f>+N7/N$11</f>
        <v>0.20893477069249042</v>
      </c>
      <c r="P7" s="11">
        <f>+N7/(N$11-N$9)</f>
        <v>0.20893477069249042</v>
      </c>
      <c r="Q7" s="12">
        <f>+N7/N$11</f>
        <v>0.20893477069249042</v>
      </c>
    </row>
    <row r="8" spans="1:17" ht="12" customHeight="1" x14ac:dyDescent="0.2">
      <c r="A8" s="8" t="s">
        <v>22</v>
      </c>
      <c r="B8" s="9">
        <v>3043</v>
      </c>
      <c r="C8" s="10">
        <v>3229</v>
      </c>
      <c r="D8" s="9">
        <v>3487</v>
      </c>
      <c r="E8" s="9">
        <v>3445</v>
      </c>
      <c r="F8" s="10">
        <v>3756</v>
      </c>
      <c r="G8" s="9">
        <v>3433</v>
      </c>
      <c r="H8" s="9">
        <v>3299</v>
      </c>
      <c r="I8" s="10">
        <v>3611</v>
      </c>
      <c r="J8" s="10">
        <v>3454</v>
      </c>
      <c r="K8" s="9">
        <v>3656</v>
      </c>
      <c r="L8" s="10">
        <v>3345</v>
      </c>
      <c r="M8" s="10">
        <v>3649</v>
      </c>
      <c r="N8" s="9">
        <f>SUM(B8:M8)</f>
        <v>41407</v>
      </c>
      <c r="O8" s="11">
        <f>+N8/N$11</f>
        <v>0.47285538096108165</v>
      </c>
      <c r="P8" s="11">
        <f>+N8/(N$11-N$9)</f>
        <v>0.47285538096108165</v>
      </c>
      <c r="Q8" s="12">
        <f>+N8/N$11</f>
        <v>0.47285538096108165</v>
      </c>
    </row>
    <row r="9" spans="1:17" ht="12" hidden="1" customHeight="1" x14ac:dyDescent="0.2">
      <c r="A9" s="8" t="s">
        <v>23</v>
      </c>
      <c r="B9" s="9"/>
      <c r="C9" s="10"/>
      <c r="D9" s="9"/>
      <c r="E9" s="9"/>
      <c r="F9" s="10"/>
      <c r="G9" s="9"/>
      <c r="H9" s="9"/>
      <c r="I9" s="10"/>
      <c r="J9" s="13"/>
      <c r="K9" s="9"/>
      <c r="L9" s="10"/>
      <c r="M9" s="14"/>
      <c r="N9" s="9">
        <f>SUM(B9:M9)</f>
        <v>0</v>
      </c>
      <c r="O9" s="11">
        <f>+N9/N$11</f>
        <v>0</v>
      </c>
      <c r="P9" s="11"/>
      <c r="Q9" s="12">
        <f>+N9/N$11</f>
        <v>0</v>
      </c>
    </row>
    <row r="10" spans="1:17" ht="12" customHeight="1" x14ac:dyDescent="0.2">
      <c r="A10" s="8" t="s">
        <v>24</v>
      </c>
      <c r="B10" s="15">
        <v>2371</v>
      </c>
      <c r="C10" s="16">
        <v>1968</v>
      </c>
      <c r="D10" s="15">
        <v>2360</v>
      </c>
      <c r="E10" s="15">
        <v>2209</v>
      </c>
      <c r="F10" s="16">
        <v>2477</v>
      </c>
      <c r="G10" s="15">
        <v>2429</v>
      </c>
      <c r="H10" s="16">
        <v>2204</v>
      </c>
      <c r="I10" s="16">
        <v>2497</v>
      </c>
      <c r="J10" s="16">
        <v>2437</v>
      </c>
      <c r="K10" s="15">
        <v>2405</v>
      </c>
      <c r="L10" s="16">
        <v>2272</v>
      </c>
      <c r="M10" s="15">
        <v>2236</v>
      </c>
      <c r="N10" s="15">
        <f>SUM(B10:M10)</f>
        <v>27865</v>
      </c>
      <c r="O10" s="17">
        <f>+N10/N$11</f>
        <v>0.3182098483464279</v>
      </c>
      <c r="P10" s="11">
        <f>+N10/(N$11-N$9)</f>
        <v>0.3182098483464279</v>
      </c>
      <c r="Q10" s="12">
        <f>+N10/N$11</f>
        <v>0.3182098483464279</v>
      </c>
    </row>
    <row r="11" spans="1:17" ht="12" customHeight="1" x14ac:dyDescent="0.2">
      <c r="A11" s="8" t="s">
        <v>18</v>
      </c>
      <c r="B11" s="9">
        <f t="shared" ref="B11:P11" si="0">SUM(B7:B10)</f>
        <v>6797</v>
      </c>
      <c r="C11" s="10">
        <f t="shared" si="0"/>
        <v>6522</v>
      </c>
      <c r="D11" s="9">
        <f t="shared" si="0"/>
        <v>7321</v>
      </c>
      <c r="E11" s="9">
        <f t="shared" si="0"/>
        <v>7136</v>
      </c>
      <c r="F11" s="10">
        <f t="shared" si="0"/>
        <v>7790</v>
      </c>
      <c r="G11" s="9">
        <f t="shared" si="0"/>
        <v>7561</v>
      </c>
      <c r="H11" s="9">
        <f t="shared" si="0"/>
        <v>7302</v>
      </c>
      <c r="I11" s="10">
        <f t="shared" si="0"/>
        <v>8023</v>
      </c>
      <c r="J11" s="10">
        <f t="shared" si="0"/>
        <v>7671</v>
      </c>
      <c r="K11" s="9">
        <f t="shared" si="0"/>
        <v>7945</v>
      </c>
      <c r="L11" s="10">
        <f t="shared" si="0"/>
        <v>6725</v>
      </c>
      <c r="M11" s="9">
        <f t="shared" si="0"/>
        <v>6775</v>
      </c>
      <c r="N11" s="9">
        <f t="shared" si="0"/>
        <v>87568</v>
      </c>
      <c r="O11" s="18">
        <f t="shared" si="0"/>
        <v>1</v>
      </c>
      <c r="P11" s="19">
        <f t="shared" si="0"/>
        <v>1</v>
      </c>
      <c r="Q11" s="12">
        <f>SUM(Q7:Q10)</f>
        <v>1</v>
      </c>
    </row>
    <row r="12" spans="1:17" ht="12" customHeight="1" x14ac:dyDescent="0.2">
      <c r="A12" t="s">
        <v>5</v>
      </c>
      <c r="B12" s="9"/>
      <c r="C12" s="10"/>
      <c r="D12" s="9"/>
      <c r="E12" s="9"/>
      <c r="F12" s="10"/>
      <c r="G12" s="9"/>
      <c r="H12" s="9"/>
      <c r="I12" s="10"/>
      <c r="J12" s="10"/>
      <c r="K12" s="9"/>
      <c r="L12" s="10"/>
      <c r="M12" s="9"/>
      <c r="N12" s="9"/>
      <c r="O12" s="18"/>
      <c r="P12" s="18"/>
    </row>
    <row r="13" spans="1:17" ht="12" customHeight="1" x14ac:dyDescent="0.2">
      <c r="A13" s="7" t="s">
        <v>25</v>
      </c>
      <c r="B13" s="9"/>
      <c r="C13" s="10"/>
      <c r="D13" s="9"/>
      <c r="E13" s="9"/>
      <c r="F13" s="10"/>
      <c r="G13" s="9"/>
      <c r="H13" s="9"/>
      <c r="I13" s="10"/>
      <c r="J13" s="10"/>
      <c r="K13" s="9"/>
      <c r="L13" s="10"/>
      <c r="M13" s="9"/>
      <c r="N13" s="9"/>
      <c r="O13" s="18"/>
      <c r="P13" s="18"/>
    </row>
    <row r="14" spans="1:17" ht="12" customHeight="1" x14ac:dyDescent="0.2">
      <c r="A14" s="8" t="s">
        <v>21</v>
      </c>
      <c r="B14" s="9">
        <v>1459</v>
      </c>
      <c r="C14" s="10">
        <v>1284</v>
      </c>
      <c r="D14" s="9">
        <v>1562</v>
      </c>
      <c r="E14" s="9">
        <v>1568</v>
      </c>
      <c r="F14" s="10">
        <v>1581</v>
      </c>
      <c r="G14" s="9">
        <v>1726</v>
      </c>
      <c r="H14" s="9">
        <v>1751</v>
      </c>
      <c r="I14" s="10">
        <v>1966</v>
      </c>
      <c r="J14" s="10">
        <v>1734</v>
      </c>
      <c r="K14" s="9">
        <f>656+1210</f>
        <v>1866</v>
      </c>
      <c r="L14" s="10">
        <f>946+97</f>
        <v>1043</v>
      </c>
      <c r="M14" s="9">
        <v>694</v>
      </c>
      <c r="N14" s="9">
        <f>SUM(B14:M14)</f>
        <v>18234</v>
      </c>
      <c r="O14" s="11">
        <f>+N14/N$18</f>
        <v>0.21087569968080677</v>
      </c>
      <c r="P14" s="11">
        <f>+N14/(N$18-N$16)</f>
        <v>0.21087569968080677</v>
      </c>
    </row>
    <row r="15" spans="1:17" ht="12" customHeight="1" x14ac:dyDescent="0.2">
      <c r="A15" t="str">
        <f>+A8</f>
        <v>Delta</v>
      </c>
      <c r="B15" s="9">
        <v>2820</v>
      </c>
      <c r="C15" s="10">
        <v>3116</v>
      </c>
      <c r="D15" s="9">
        <v>3350</v>
      </c>
      <c r="E15" s="9">
        <v>3317</v>
      </c>
      <c r="F15" s="10">
        <v>3627</v>
      </c>
      <c r="G15" s="9">
        <v>3323</v>
      </c>
      <c r="H15" s="9">
        <v>3289</v>
      </c>
      <c r="I15" s="10">
        <v>3653</v>
      </c>
      <c r="J15" s="10">
        <v>3468</v>
      </c>
      <c r="K15" s="9">
        <v>3727</v>
      </c>
      <c r="L15" s="10">
        <v>3369</v>
      </c>
      <c r="M15" s="9">
        <v>3549</v>
      </c>
      <c r="N15" s="9">
        <f>SUM(B15:M15)</f>
        <v>40608</v>
      </c>
      <c r="O15" s="11">
        <f>+N15/N$18</f>
        <v>0.46963038349447195</v>
      </c>
      <c r="P15" s="11">
        <f>+N15/(N$18-N$16)</f>
        <v>0.46963038349447195</v>
      </c>
    </row>
    <row r="16" spans="1:17" ht="12" hidden="1" customHeight="1" x14ac:dyDescent="0.2">
      <c r="A16" s="8" t="s">
        <v>23</v>
      </c>
      <c r="B16" s="9"/>
      <c r="C16" s="9"/>
      <c r="D16" s="9"/>
      <c r="E16" s="9"/>
      <c r="F16" s="10"/>
      <c r="G16" s="9"/>
      <c r="H16" s="9"/>
      <c r="I16" s="10"/>
      <c r="J16" s="13"/>
      <c r="K16" s="9"/>
      <c r="L16" s="10"/>
      <c r="M16" s="14"/>
      <c r="N16" s="9">
        <f>SUM(B16:M16)</f>
        <v>0</v>
      </c>
      <c r="O16" s="11">
        <f>+N16/N$18</f>
        <v>0</v>
      </c>
      <c r="P16" s="11"/>
    </row>
    <row r="17" spans="1:16" ht="12" customHeight="1" x14ac:dyDescent="0.2">
      <c r="A17" s="8" t="s">
        <v>24</v>
      </c>
      <c r="B17" s="15">
        <v>2300</v>
      </c>
      <c r="C17" s="16">
        <v>1847</v>
      </c>
      <c r="D17" s="15">
        <v>2479</v>
      </c>
      <c r="E17" s="15">
        <v>2353</v>
      </c>
      <c r="F17" s="16">
        <v>2467</v>
      </c>
      <c r="G17" s="15">
        <v>2456</v>
      </c>
      <c r="H17" s="16">
        <v>2110</v>
      </c>
      <c r="I17" s="16">
        <v>2459</v>
      </c>
      <c r="J17" s="16">
        <v>2353</v>
      </c>
      <c r="K17" s="15">
        <v>2395</v>
      </c>
      <c r="L17" s="16">
        <v>2290</v>
      </c>
      <c r="M17" s="15">
        <v>2117</v>
      </c>
      <c r="N17" s="15">
        <f>SUM(B17:M17)</f>
        <v>27626</v>
      </c>
      <c r="O17" s="17">
        <f>+N17/N$18</f>
        <v>0.31949391682472128</v>
      </c>
      <c r="P17" s="17">
        <f>+N17/(N$18-N$16)</f>
        <v>0.31949391682472128</v>
      </c>
    </row>
    <row r="18" spans="1:16" ht="12" customHeight="1" x14ac:dyDescent="0.2">
      <c r="A18" s="8" t="s">
        <v>18</v>
      </c>
      <c r="B18" s="9">
        <f t="shared" ref="B18:M18" si="1">SUM(B14:B17)</f>
        <v>6579</v>
      </c>
      <c r="C18" s="10">
        <f t="shared" si="1"/>
        <v>6247</v>
      </c>
      <c r="D18" s="9">
        <f t="shared" si="1"/>
        <v>7391</v>
      </c>
      <c r="E18" s="9">
        <f t="shared" si="1"/>
        <v>7238</v>
      </c>
      <c r="F18" s="10">
        <f t="shared" si="1"/>
        <v>7675</v>
      </c>
      <c r="G18" s="9">
        <f t="shared" si="1"/>
        <v>7505</v>
      </c>
      <c r="H18" s="9">
        <f t="shared" si="1"/>
        <v>7150</v>
      </c>
      <c r="I18" s="9">
        <f t="shared" si="1"/>
        <v>8078</v>
      </c>
      <c r="J18" s="10">
        <f t="shared" si="1"/>
        <v>7555</v>
      </c>
      <c r="K18" s="9">
        <f t="shared" si="1"/>
        <v>7988</v>
      </c>
      <c r="L18" s="10">
        <f t="shared" si="1"/>
        <v>6702</v>
      </c>
      <c r="M18" s="9">
        <f t="shared" si="1"/>
        <v>6360</v>
      </c>
      <c r="N18" s="9">
        <f>SUM(B18:M18)</f>
        <v>86468</v>
      </c>
      <c r="O18" s="18">
        <f>SUM(O14:O17)</f>
        <v>1</v>
      </c>
      <c r="P18" s="18">
        <f>SUM(P14:P17)</f>
        <v>1</v>
      </c>
    </row>
    <row r="19" spans="1:16" ht="12" customHeight="1" x14ac:dyDescent="0.2">
      <c r="A19" t="s">
        <v>5</v>
      </c>
      <c r="B19" s="9"/>
      <c r="C19" s="10"/>
      <c r="D19" s="9"/>
      <c r="E19" s="9"/>
      <c r="F19" s="10"/>
      <c r="G19" s="9"/>
      <c r="H19" s="9"/>
      <c r="I19" s="10"/>
      <c r="J19" s="10"/>
      <c r="K19" s="9"/>
      <c r="L19" s="10"/>
      <c r="M19" s="9"/>
      <c r="N19" s="9"/>
    </row>
    <row r="20" spans="1:16" ht="12" customHeight="1" x14ac:dyDescent="0.2">
      <c r="A20" s="7" t="s">
        <v>26</v>
      </c>
      <c r="B20" s="9"/>
      <c r="C20" s="10"/>
      <c r="D20" s="9"/>
      <c r="E20" s="9"/>
      <c r="F20" s="10"/>
      <c r="G20" s="9"/>
      <c r="H20" s="9"/>
      <c r="I20" s="10"/>
      <c r="J20" s="10"/>
      <c r="K20" s="9"/>
      <c r="L20" s="10"/>
      <c r="M20" s="9"/>
      <c r="N20" s="9"/>
    </row>
    <row r="21" spans="1:16" ht="12" customHeight="1" x14ac:dyDescent="0.2">
      <c r="A21" t="s">
        <v>27</v>
      </c>
      <c r="B21" s="15">
        <f>15+16</f>
        <v>31</v>
      </c>
      <c r="C21" s="16">
        <f>23+20+265</f>
        <v>308</v>
      </c>
      <c r="D21" s="15">
        <f>35+300</f>
        <v>335</v>
      </c>
      <c r="E21" s="15">
        <f>399+47</f>
        <v>446</v>
      </c>
      <c r="F21" s="16">
        <f>26+98+106</f>
        <v>230</v>
      </c>
      <c r="G21" s="15">
        <v>24</v>
      </c>
      <c r="H21" s="15">
        <f>825+258</f>
        <v>1083</v>
      </c>
      <c r="I21" s="16">
        <v>418</v>
      </c>
      <c r="J21" s="16">
        <v>628</v>
      </c>
      <c r="K21" s="15">
        <f>1+128+499</f>
        <v>628</v>
      </c>
      <c r="L21" s="16">
        <v>775</v>
      </c>
      <c r="M21" s="20">
        <f>302+229+40</f>
        <v>571</v>
      </c>
      <c r="N21" s="15">
        <f>SUM(B21:M21)</f>
        <v>5477</v>
      </c>
    </row>
    <row r="22" spans="1:16" ht="12" customHeight="1" x14ac:dyDescent="0.2">
      <c r="A22" t="s">
        <v>18</v>
      </c>
      <c r="B22" s="9">
        <f t="shared" ref="B22:M22" si="2">SUM(B21:B21)</f>
        <v>31</v>
      </c>
      <c r="C22" s="10">
        <f t="shared" si="2"/>
        <v>308</v>
      </c>
      <c r="D22" s="9">
        <f t="shared" si="2"/>
        <v>335</v>
      </c>
      <c r="E22" s="9">
        <f t="shared" si="2"/>
        <v>446</v>
      </c>
      <c r="F22" s="10">
        <f t="shared" si="2"/>
        <v>230</v>
      </c>
      <c r="G22" s="9">
        <f t="shared" si="2"/>
        <v>24</v>
      </c>
      <c r="H22" s="9">
        <f t="shared" si="2"/>
        <v>1083</v>
      </c>
      <c r="I22" s="9">
        <f t="shared" si="2"/>
        <v>418</v>
      </c>
      <c r="J22" s="10">
        <f t="shared" si="2"/>
        <v>628</v>
      </c>
      <c r="K22" s="9">
        <f t="shared" si="2"/>
        <v>628</v>
      </c>
      <c r="L22" s="10">
        <f t="shared" si="2"/>
        <v>775</v>
      </c>
      <c r="M22" s="9">
        <f t="shared" si="2"/>
        <v>571</v>
      </c>
      <c r="N22" s="9">
        <f>SUM(B22:M22)</f>
        <v>5477</v>
      </c>
    </row>
    <row r="23" spans="1:16" ht="12" customHeight="1" x14ac:dyDescent="0.2">
      <c r="B23" s="9"/>
      <c r="C23" s="10"/>
      <c r="D23" s="9"/>
      <c r="E23" s="9"/>
      <c r="F23" s="10"/>
      <c r="G23" s="9"/>
      <c r="H23" s="9"/>
      <c r="I23" s="10"/>
      <c r="J23" s="10"/>
      <c r="K23" s="9"/>
      <c r="L23" s="10"/>
      <c r="M23" s="9"/>
      <c r="N23" s="9"/>
    </row>
    <row r="24" spans="1:16" ht="12" customHeight="1" x14ac:dyDescent="0.2">
      <c r="A24" s="7" t="s">
        <v>28</v>
      </c>
      <c r="B24" s="9"/>
      <c r="C24" s="10"/>
      <c r="D24" s="9"/>
      <c r="E24" s="9"/>
      <c r="F24" s="10"/>
      <c r="G24" s="9"/>
      <c r="H24" s="9"/>
      <c r="I24" s="10"/>
      <c r="J24" s="10"/>
      <c r="K24" s="9"/>
      <c r="L24" s="10"/>
      <c r="M24" s="9"/>
      <c r="N24" s="9"/>
    </row>
    <row r="25" spans="1:16" ht="12" customHeight="1" x14ac:dyDescent="0.2">
      <c r="A25" t="s">
        <v>27</v>
      </c>
      <c r="B25" s="21">
        <f>61+109+230+20564</f>
        <v>20964</v>
      </c>
      <c r="C25" s="16">
        <f>205+154+14272</f>
        <v>14631</v>
      </c>
      <c r="D25" s="16">
        <f>262+23760+71</f>
        <v>24093</v>
      </c>
      <c r="E25" s="15">
        <f>63+309+20658</f>
        <v>21030</v>
      </c>
      <c r="F25" s="21">
        <f>211+18565+102+55</f>
        <v>18933</v>
      </c>
      <c r="G25" s="15">
        <f>336+21131</f>
        <v>21467</v>
      </c>
      <c r="H25" s="15">
        <f>353+21316</f>
        <v>21669</v>
      </c>
      <c r="I25" s="16">
        <f>17175+228</f>
        <v>17403</v>
      </c>
      <c r="J25" s="16">
        <f>309+17600</f>
        <v>17909</v>
      </c>
      <c r="K25" s="15">
        <f>20096+259+402</f>
        <v>20757</v>
      </c>
      <c r="L25" s="16">
        <f>170+16524</f>
        <v>16694</v>
      </c>
      <c r="M25" s="16">
        <f>37864+118+170+15</f>
        <v>38167</v>
      </c>
      <c r="N25" s="15">
        <f>SUM(B25:M25)</f>
        <v>253717</v>
      </c>
    </row>
    <row r="26" spans="1:16" ht="12" customHeight="1" x14ac:dyDescent="0.2">
      <c r="A26" t="s">
        <v>18</v>
      </c>
      <c r="B26" s="9">
        <f t="shared" ref="B26:M26" si="3">SUM(B25:B25)</f>
        <v>20964</v>
      </c>
      <c r="C26" s="10">
        <f t="shared" si="3"/>
        <v>14631</v>
      </c>
      <c r="D26" s="9">
        <f t="shared" si="3"/>
        <v>24093</v>
      </c>
      <c r="E26" s="9">
        <f t="shared" si="3"/>
        <v>21030</v>
      </c>
      <c r="F26" s="10">
        <f t="shared" si="3"/>
        <v>18933</v>
      </c>
      <c r="G26" s="9">
        <f t="shared" si="3"/>
        <v>21467</v>
      </c>
      <c r="H26" s="9">
        <f t="shared" si="3"/>
        <v>21669</v>
      </c>
      <c r="I26" s="9">
        <f t="shared" si="3"/>
        <v>17403</v>
      </c>
      <c r="J26" s="10">
        <f t="shared" si="3"/>
        <v>17909</v>
      </c>
      <c r="K26" s="9">
        <f t="shared" si="3"/>
        <v>20757</v>
      </c>
      <c r="L26" s="10">
        <f t="shared" si="3"/>
        <v>16694</v>
      </c>
      <c r="M26" s="9">
        <f t="shared" si="3"/>
        <v>38167</v>
      </c>
      <c r="N26" s="9">
        <f>SUM(B26:M26)</f>
        <v>253717</v>
      </c>
    </row>
    <row r="27" spans="1:16" ht="12" customHeight="1" x14ac:dyDescent="0.2">
      <c r="B27" s="9"/>
      <c r="C27" s="10"/>
      <c r="D27" s="9"/>
      <c r="E27" s="9"/>
      <c r="F27" s="10"/>
      <c r="G27" s="9"/>
      <c r="H27" s="9"/>
      <c r="I27" s="10"/>
      <c r="J27" s="10"/>
      <c r="K27" s="9"/>
      <c r="L27" s="10"/>
      <c r="M27" s="9"/>
      <c r="N27" s="9"/>
    </row>
    <row r="28" spans="1:16" ht="12" customHeight="1" x14ac:dyDescent="0.2">
      <c r="A28" s="7" t="s">
        <v>29</v>
      </c>
      <c r="B28" s="9"/>
      <c r="C28" s="10"/>
      <c r="D28" s="9"/>
      <c r="E28" s="9"/>
      <c r="F28" s="10"/>
      <c r="G28" s="9"/>
      <c r="H28" s="9"/>
      <c r="I28" s="10"/>
      <c r="J28" s="10"/>
      <c r="K28" s="9"/>
      <c r="L28" s="10"/>
      <c r="M28" s="9"/>
      <c r="N28" s="9"/>
    </row>
    <row r="29" spans="1:16" ht="12" customHeight="1" x14ac:dyDescent="0.2">
      <c r="A29" t="s">
        <v>30</v>
      </c>
      <c r="B29" s="9">
        <v>0</v>
      </c>
      <c r="C29" s="10">
        <v>0</v>
      </c>
      <c r="D29" s="9">
        <v>3</v>
      </c>
      <c r="E29" s="10">
        <v>4</v>
      </c>
      <c r="F29" s="10">
        <v>4</v>
      </c>
      <c r="G29" s="9">
        <v>2</v>
      </c>
      <c r="H29" s="9">
        <v>0</v>
      </c>
      <c r="I29" s="10">
        <v>0</v>
      </c>
      <c r="J29" s="10">
        <v>0</v>
      </c>
      <c r="K29" s="9">
        <v>0</v>
      </c>
      <c r="L29" s="10">
        <v>5</v>
      </c>
      <c r="M29" s="9">
        <v>2</v>
      </c>
      <c r="N29" s="9">
        <f t="shared" ref="N29:N34" si="4">SUM(B29:M29)</f>
        <v>20</v>
      </c>
      <c r="P29" t="s">
        <v>31</v>
      </c>
    </row>
    <row r="30" spans="1:16" ht="12" customHeight="1" x14ac:dyDescent="0.2">
      <c r="A30" t="s">
        <v>32</v>
      </c>
      <c r="B30" s="9">
        <v>438</v>
      </c>
      <c r="C30" s="10">
        <v>444</v>
      </c>
      <c r="D30" s="9">
        <v>518</v>
      </c>
      <c r="E30" s="10">
        <v>566</v>
      </c>
      <c r="F30" s="10">
        <v>590</v>
      </c>
      <c r="G30" s="9">
        <v>574</v>
      </c>
      <c r="H30" s="9">
        <v>501</v>
      </c>
      <c r="I30" s="10">
        <v>563</v>
      </c>
      <c r="J30" s="10">
        <v>527</v>
      </c>
      <c r="K30" s="9">
        <v>562</v>
      </c>
      <c r="L30" s="10">
        <v>438</v>
      </c>
      <c r="M30" s="9">
        <v>491</v>
      </c>
      <c r="N30" s="9">
        <f t="shared" si="4"/>
        <v>6212</v>
      </c>
      <c r="P30" t="s">
        <v>33</v>
      </c>
    </row>
    <row r="31" spans="1:16" ht="12" customHeight="1" x14ac:dyDescent="0.2">
      <c r="A31" t="s">
        <v>34</v>
      </c>
      <c r="B31" s="9">
        <v>272</v>
      </c>
      <c r="C31" s="10">
        <v>296</v>
      </c>
      <c r="D31" s="9">
        <v>557</v>
      </c>
      <c r="E31" s="10">
        <v>679</v>
      </c>
      <c r="F31" s="10">
        <v>804</v>
      </c>
      <c r="G31" s="9">
        <v>961</v>
      </c>
      <c r="H31" s="9">
        <v>1135</v>
      </c>
      <c r="I31" s="10">
        <v>1058</v>
      </c>
      <c r="J31" s="10">
        <v>931</v>
      </c>
      <c r="K31" s="9">
        <v>759</v>
      </c>
      <c r="L31" s="10">
        <v>710</v>
      </c>
      <c r="M31" s="9">
        <v>317</v>
      </c>
      <c r="N31" s="9">
        <f t="shared" si="4"/>
        <v>8479</v>
      </c>
      <c r="P31" t="s">
        <v>35</v>
      </c>
    </row>
    <row r="32" spans="1:16" ht="12" customHeight="1" x14ac:dyDescent="0.2">
      <c r="A32" t="s">
        <v>36</v>
      </c>
      <c r="B32" s="22">
        <f>15+54</f>
        <v>69</v>
      </c>
      <c r="C32" s="23">
        <f>30+72</f>
        <v>102</v>
      </c>
      <c r="D32" s="22">
        <f>50+124</f>
        <v>174</v>
      </c>
      <c r="E32" s="23">
        <f>18+18</f>
        <v>36</v>
      </c>
      <c r="F32" s="23">
        <f>28+16</f>
        <v>44</v>
      </c>
      <c r="G32" s="22">
        <f>40+34</f>
        <v>74</v>
      </c>
      <c r="H32" s="22">
        <f>24+36</f>
        <v>60</v>
      </c>
      <c r="I32" s="23">
        <f>30+34</f>
        <v>64</v>
      </c>
      <c r="J32" s="23">
        <f>58+24</f>
        <v>82</v>
      </c>
      <c r="K32" s="22">
        <f>2+0</f>
        <v>2</v>
      </c>
      <c r="L32" s="23">
        <f>25+26</f>
        <v>51</v>
      </c>
      <c r="M32" s="22">
        <f>10+4</f>
        <v>14</v>
      </c>
      <c r="N32" s="22">
        <f t="shared" si="4"/>
        <v>772</v>
      </c>
      <c r="P32" t="s">
        <v>37</v>
      </c>
    </row>
    <row r="33" spans="1:16" ht="12" customHeight="1" x14ac:dyDescent="0.2">
      <c r="A33" t="s">
        <v>38</v>
      </c>
      <c r="B33" s="9">
        <v>571</v>
      </c>
      <c r="C33" s="10">
        <v>374</v>
      </c>
      <c r="D33" s="9">
        <v>641</v>
      </c>
      <c r="E33" s="10">
        <v>794</v>
      </c>
      <c r="F33" s="10">
        <v>872</v>
      </c>
      <c r="G33" s="9">
        <v>1621</v>
      </c>
      <c r="H33" s="9">
        <v>1682</v>
      </c>
      <c r="I33" s="10">
        <v>1435</v>
      </c>
      <c r="J33" s="10">
        <v>1313</v>
      </c>
      <c r="K33" s="9">
        <v>991</v>
      </c>
      <c r="L33" s="10">
        <v>826</v>
      </c>
      <c r="M33" s="9">
        <v>369</v>
      </c>
      <c r="N33" s="9">
        <f t="shared" si="4"/>
        <v>11489</v>
      </c>
      <c r="P33" t="s">
        <v>39</v>
      </c>
    </row>
    <row r="34" spans="1:16" ht="12" customHeight="1" x14ac:dyDescent="0.2">
      <c r="A34" t="s">
        <v>40</v>
      </c>
      <c r="B34" s="24">
        <f t="shared" ref="B34:M34" si="5">SUM(B29:B33)</f>
        <v>1350</v>
      </c>
      <c r="C34" s="25">
        <f t="shared" si="5"/>
        <v>1216</v>
      </c>
      <c r="D34" s="24">
        <f t="shared" si="5"/>
        <v>1893</v>
      </c>
      <c r="E34" s="24">
        <f t="shared" si="5"/>
        <v>2079</v>
      </c>
      <c r="F34" s="25">
        <f t="shared" si="5"/>
        <v>2314</v>
      </c>
      <c r="G34" s="24">
        <f t="shared" si="5"/>
        <v>3232</v>
      </c>
      <c r="H34" s="24">
        <f t="shared" si="5"/>
        <v>3378</v>
      </c>
      <c r="I34" s="25">
        <f t="shared" si="5"/>
        <v>3120</v>
      </c>
      <c r="J34" s="25">
        <f t="shared" si="5"/>
        <v>2853</v>
      </c>
      <c r="K34" s="24">
        <f t="shared" si="5"/>
        <v>2314</v>
      </c>
      <c r="L34" s="25">
        <f t="shared" si="5"/>
        <v>2030</v>
      </c>
      <c r="M34" s="24">
        <f t="shared" si="5"/>
        <v>1193</v>
      </c>
      <c r="N34" s="24">
        <f t="shared" si="4"/>
        <v>26972</v>
      </c>
    </row>
    <row r="35" spans="1:16" ht="12" customHeight="1" x14ac:dyDescent="0.2">
      <c r="C35" s="3"/>
      <c r="I35" s="3"/>
      <c r="J35" s="3"/>
      <c r="L35" s="3"/>
    </row>
    <row r="36" spans="1:16" ht="12" customHeight="1" x14ac:dyDescent="0.2">
      <c r="A36" s="7" t="s">
        <v>41</v>
      </c>
      <c r="C36" s="3"/>
      <c r="I36" s="3"/>
      <c r="J36" s="3"/>
      <c r="L36" s="3"/>
    </row>
    <row r="37" spans="1:16" ht="12" customHeight="1" x14ac:dyDescent="0.2">
      <c r="A37" s="7" t="s">
        <v>21</v>
      </c>
      <c r="B37" s="8"/>
      <c r="C37" s="3"/>
      <c r="I37" s="3"/>
      <c r="J37" s="3"/>
      <c r="L37" s="3"/>
      <c r="N37" s="26"/>
    </row>
    <row r="38" spans="1:16" ht="12" customHeight="1" x14ac:dyDescent="0.2">
      <c r="A38" s="27" t="s">
        <v>42</v>
      </c>
      <c r="C38" s="3"/>
      <c r="G38" s="3"/>
      <c r="H38" s="3"/>
      <c r="I38" s="3">
        <v>1134926</v>
      </c>
      <c r="J38" s="3">
        <v>1134926</v>
      </c>
      <c r="K38" s="3">
        <f>799000+1222228</f>
        <v>2021228</v>
      </c>
      <c r="L38" s="3">
        <f>305557+141000</f>
        <v>446557</v>
      </c>
      <c r="M38" s="3"/>
      <c r="N38">
        <f>SUM(B38:M38)</f>
        <v>4737637</v>
      </c>
    </row>
    <row r="39" spans="1:16" ht="12" customHeight="1" x14ac:dyDescent="0.2">
      <c r="A39" s="27" t="s">
        <v>43</v>
      </c>
      <c r="B39">
        <v>1728900</v>
      </c>
      <c r="C39" s="3">
        <v>1593300</v>
      </c>
      <c r="D39">
        <v>1864500</v>
      </c>
      <c r="E39">
        <v>1932300</v>
      </c>
      <c r="F39" s="3">
        <v>2034000</v>
      </c>
      <c r="G39" s="3">
        <v>1957820</v>
      </c>
      <c r="H39" s="3">
        <v>1962924</v>
      </c>
      <c r="I39" s="3">
        <f>949200+41100</f>
        <v>990300</v>
      </c>
      <c r="J39" s="3">
        <f>745800+205500</f>
        <v>951300</v>
      </c>
      <c r="K39" s="3">
        <f>237300+41100</f>
        <v>278400</v>
      </c>
      <c r="L39" s="3">
        <v>881400</v>
      </c>
      <c r="M39" s="3">
        <v>1017000</v>
      </c>
      <c r="N39">
        <f>SUM(B39:M39)</f>
        <v>17192144</v>
      </c>
    </row>
    <row r="40" spans="1:16" ht="12" customHeight="1" x14ac:dyDescent="0.2">
      <c r="A40" s="7" t="s">
        <v>22</v>
      </c>
      <c r="B40" s="8"/>
      <c r="C40" s="3"/>
      <c r="I40" s="3"/>
      <c r="L40" s="3"/>
      <c r="N40" s="26"/>
    </row>
    <row r="41" spans="1:16" ht="12" customHeight="1" x14ac:dyDescent="0.2">
      <c r="A41" s="27" t="s">
        <v>44</v>
      </c>
      <c r="C41" s="3"/>
      <c r="G41" s="3"/>
      <c r="H41" s="3"/>
      <c r="I41" s="3"/>
      <c r="J41" s="3"/>
      <c r="K41" s="3"/>
      <c r="L41" s="3"/>
      <c r="M41" s="3"/>
      <c r="N41">
        <f>SUM(B41:M41)</f>
        <v>0</v>
      </c>
    </row>
    <row r="42" spans="1:16" ht="12" customHeight="1" x14ac:dyDescent="0.2">
      <c r="A42" s="27" t="s">
        <v>45</v>
      </c>
      <c r="B42">
        <v>3181744</v>
      </c>
      <c r="C42" s="3">
        <v>3332175</v>
      </c>
      <c r="D42">
        <v>3920198</v>
      </c>
      <c r="E42">
        <v>3976100</v>
      </c>
      <c r="F42" s="3">
        <v>4080925</v>
      </c>
      <c r="G42" s="3">
        <v>4043394</v>
      </c>
      <c r="H42" s="3">
        <v>4042000</v>
      </c>
      <c r="I42" s="3">
        <v>4089000</v>
      </c>
      <c r="J42" s="3">
        <v>3854000</v>
      </c>
      <c r="K42" s="3">
        <v>3901000</v>
      </c>
      <c r="L42" s="3">
        <v>3619000</v>
      </c>
      <c r="M42" s="3">
        <v>3976100</v>
      </c>
      <c r="N42">
        <f>SUM(B42:M42)</f>
        <v>46015636</v>
      </c>
    </row>
    <row r="43" spans="1:16" ht="12" customHeight="1" x14ac:dyDescent="0.2">
      <c r="A43" s="28" t="s">
        <v>24</v>
      </c>
      <c r="B43" s="8"/>
      <c r="C43" s="3"/>
      <c r="I43" s="3"/>
      <c r="L43" s="3"/>
      <c r="N43" s="26"/>
    </row>
    <row r="44" spans="1:16" ht="12" customHeight="1" x14ac:dyDescent="0.2">
      <c r="A44" s="27" t="s">
        <v>46</v>
      </c>
      <c r="B44">
        <v>2453717</v>
      </c>
      <c r="C44" s="3">
        <v>2186960</v>
      </c>
      <c r="D44">
        <v>2537050</v>
      </c>
      <c r="E44">
        <v>2402569</v>
      </c>
      <c r="F44" s="3">
        <v>2491635</v>
      </c>
      <c r="G44" s="3">
        <v>2492958</v>
      </c>
      <c r="H44" s="3">
        <v>2274262</v>
      </c>
      <c r="I44" s="3">
        <v>2491635</v>
      </c>
      <c r="J44" s="3">
        <v>2403892</v>
      </c>
      <c r="K44" s="3">
        <v>2496486</v>
      </c>
      <c r="L44" s="3">
        <v>2280877</v>
      </c>
      <c r="M44" s="3">
        <v>2281318</v>
      </c>
      <c r="N44">
        <f>SUM(B44:M44)</f>
        <v>28793359</v>
      </c>
    </row>
    <row r="45" spans="1:16" ht="12" customHeight="1" x14ac:dyDescent="0.2">
      <c r="A45" s="27" t="s">
        <v>47</v>
      </c>
      <c r="C45" s="3"/>
      <c r="G45" s="3"/>
      <c r="H45" s="3"/>
      <c r="I45" s="3"/>
      <c r="J45" s="3"/>
      <c r="K45" s="3"/>
      <c r="L45" s="3"/>
      <c r="M45" s="3"/>
      <c r="N45">
        <f>SUM(B45:M45)</f>
        <v>0</v>
      </c>
    </row>
    <row r="46" spans="1:16" ht="12" customHeight="1" x14ac:dyDescent="0.2">
      <c r="A46" s="7" t="s">
        <v>23</v>
      </c>
      <c r="C46" s="3"/>
      <c r="I46" s="3"/>
      <c r="L46" s="3"/>
      <c r="N46" s="26"/>
    </row>
    <row r="47" spans="1:16" ht="12" customHeight="1" x14ac:dyDescent="0.2">
      <c r="A47" s="29" t="s">
        <v>48</v>
      </c>
      <c r="C47" s="3"/>
      <c r="G47" s="3"/>
      <c r="H47" s="3"/>
      <c r="I47" s="3"/>
      <c r="J47" s="30"/>
      <c r="K47" s="30"/>
      <c r="L47" s="30"/>
      <c r="M47" s="30"/>
      <c r="N47">
        <f>SUM(B47:M47)</f>
        <v>0</v>
      </c>
    </row>
    <row r="48" spans="1:16" ht="12" customHeight="1" x14ac:dyDescent="0.2">
      <c r="A48" s="31" t="s">
        <v>49</v>
      </c>
      <c r="C48" s="3"/>
      <c r="G48" s="3"/>
      <c r="H48" s="3"/>
      <c r="I48" s="3"/>
      <c r="J48" s="30"/>
      <c r="K48" s="30"/>
      <c r="L48" s="30"/>
      <c r="M48" s="27"/>
      <c r="N48">
        <f>SUM(B48:M48)</f>
        <v>0</v>
      </c>
    </row>
    <row r="49" spans="1:14" ht="12" customHeight="1" x14ac:dyDescent="0.2">
      <c r="A49" s="7" t="s">
        <v>50</v>
      </c>
      <c r="C49" s="3"/>
      <c r="I49" s="3"/>
      <c r="L49" s="3"/>
      <c r="N49" s="26"/>
    </row>
    <row r="50" spans="1:14" ht="12" customHeight="1" x14ac:dyDescent="0.2">
      <c r="A50" t="s">
        <v>51</v>
      </c>
      <c r="B50" s="32">
        <v>170000</v>
      </c>
      <c r="C50" s="32">
        <v>161500</v>
      </c>
      <c r="D50" s="33">
        <v>212500</v>
      </c>
      <c r="E50" s="32">
        <v>187000</v>
      </c>
      <c r="F50" s="32">
        <v>170000</v>
      </c>
      <c r="G50" s="32">
        <v>204000</v>
      </c>
      <c r="H50" s="32">
        <v>178500</v>
      </c>
      <c r="I50" s="32">
        <v>187000</v>
      </c>
      <c r="J50" s="32">
        <v>178500</v>
      </c>
      <c r="K50" s="32">
        <v>187000</v>
      </c>
      <c r="L50" s="32">
        <v>178500</v>
      </c>
      <c r="M50" s="32">
        <v>255000</v>
      </c>
      <c r="N50" s="33">
        <f>SUM(B50:M50)</f>
        <v>2269500</v>
      </c>
    </row>
    <row r="51" spans="1:14" ht="12" customHeight="1" x14ac:dyDescent="0.2">
      <c r="A51" s="8" t="s">
        <v>52</v>
      </c>
      <c r="B51" s="34"/>
      <c r="C51" s="34"/>
      <c r="D51" s="20"/>
      <c r="E51" s="20"/>
      <c r="F51" s="34"/>
      <c r="G51" s="20"/>
      <c r="H51" s="20"/>
      <c r="I51" s="34"/>
      <c r="J51" s="20"/>
      <c r="K51" s="20"/>
      <c r="L51" s="34"/>
      <c r="M51" s="20"/>
      <c r="N51" s="20">
        <f>SUM(B51:M51)</f>
        <v>0</v>
      </c>
    </row>
    <row r="52" spans="1:14" ht="12" customHeight="1" x14ac:dyDescent="0.2">
      <c r="A52" t="s">
        <v>18</v>
      </c>
      <c r="B52">
        <f t="shared" ref="B52:M52" si="6">SUM(B38:B51)</f>
        <v>7534361</v>
      </c>
      <c r="C52">
        <f t="shared" si="6"/>
        <v>7273935</v>
      </c>
      <c r="D52">
        <f t="shared" si="6"/>
        <v>8534248</v>
      </c>
      <c r="E52">
        <f t="shared" si="6"/>
        <v>8497969</v>
      </c>
      <c r="F52">
        <f t="shared" si="6"/>
        <v>8776560</v>
      </c>
      <c r="G52">
        <f t="shared" si="6"/>
        <v>8698172</v>
      </c>
      <c r="H52">
        <f t="shared" si="6"/>
        <v>8457686</v>
      </c>
      <c r="I52">
        <f t="shared" si="6"/>
        <v>8892861</v>
      </c>
      <c r="J52">
        <f t="shared" si="6"/>
        <v>8522618</v>
      </c>
      <c r="K52">
        <f t="shared" si="6"/>
        <v>8884114</v>
      </c>
      <c r="L52">
        <f t="shared" si="6"/>
        <v>7406334</v>
      </c>
      <c r="M52">
        <f t="shared" si="6"/>
        <v>7529418</v>
      </c>
      <c r="N52">
        <f>SUM(B52:M52)</f>
        <v>99008276</v>
      </c>
    </row>
    <row r="53" spans="1:14" x14ac:dyDescent="0.2">
      <c r="I53" s="3"/>
      <c r="L53" s="3"/>
      <c r="N53">
        <f>SUM(N38:N51)</f>
        <v>99008276</v>
      </c>
    </row>
    <row r="54" spans="1:14" x14ac:dyDescent="0.2">
      <c r="I54" s="3"/>
      <c r="L54" s="3"/>
    </row>
    <row r="55" spans="1:14" x14ac:dyDescent="0.2">
      <c r="L55" s="3"/>
    </row>
  </sheetData>
  <mergeCells count="3">
    <mergeCell ref="A1:N1"/>
    <mergeCell ref="A2:N2"/>
    <mergeCell ref="A3:N3"/>
  </mergeCells>
  <pageMargins left="0.5" right="0.5" top="0.25" bottom="0.28999999999999998" header="0.25" footer="0.16"/>
  <pageSetup scale="88" orientation="landscape" horizontalDpi="1200" verticalDpi="1200" r:id="rId1"/>
  <headerFooter alignWithMargins="0">
    <oddHeader>&amp;R&amp;"Comic Sans MS,Regular"&amp;8prepared by: Sheilah Bruno</oddHeader>
    <oddFooter>&amp;R&amp;8&amp;Z&amp;F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Stats 2016</vt:lpstr>
      <vt:lpstr>'Stats 2016'!Print_Area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Sheilah Bruno</dc:creator>
  <cp:lastModifiedBy>Sheilah Bruno</cp:lastModifiedBy>
  <dcterms:created xsi:type="dcterms:W3CDTF">2017-01-11T17:21:20Z</dcterms:created>
  <dcterms:modified xsi:type="dcterms:W3CDTF">2017-01-11T17:21:54Z</dcterms:modified>
</cp:coreProperties>
</file>