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tats 2015" sheetId="1" r:id="rId1"/>
  </sheets>
  <definedNames>
    <definedName name="_Order1" hidden="1">255</definedName>
    <definedName name="_Order2" hidden="1">255</definedName>
    <definedName name="_xlnm.Print_Area" localSheetId="0">'Stats 2015'!$A$1:$P$52</definedName>
    <definedName name="_xlnm.Print_Titles">#N/A</definedName>
  </definedNames>
  <calcPr calcId="145621"/>
</workbook>
</file>

<file path=xl/calcChain.xml><?xml version="1.0" encoding="utf-8"?>
<calcChain xmlns="http://schemas.openxmlformats.org/spreadsheetml/2006/main">
  <c r="M52" i="1" l="1"/>
  <c r="L52" i="1"/>
  <c r="J52" i="1"/>
  <c r="I52" i="1"/>
  <c r="H52" i="1"/>
  <c r="G52" i="1"/>
  <c r="F52" i="1"/>
  <c r="E52" i="1"/>
  <c r="D52" i="1"/>
  <c r="C52" i="1"/>
  <c r="B52" i="1"/>
  <c r="N51" i="1"/>
  <c r="N50" i="1"/>
  <c r="N48" i="1"/>
  <c r="N47" i="1"/>
  <c r="N45" i="1"/>
  <c r="N44" i="1"/>
  <c r="K42" i="1"/>
  <c r="K52" i="1" s="1"/>
  <c r="N41" i="1"/>
  <c r="N39" i="1"/>
  <c r="N38" i="1"/>
  <c r="C34" i="1"/>
  <c r="B34" i="1"/>
  <c r="N33" i="1"/>
  <c r="M32" i="1"/>
  <c r="M34" i="1" s="1"/>
  <c r="L32" i="1"/>
  <c r="L34" i="1" s="1"/>
  <c r="K32" i="1"/>
  <c r="K34" i="1" s="1"/>
  <c r="J32" i="1"/>
  <c r="J34" i="1" s="1"/>
  <c r="I32" i="1"/>
  <c r="I34" i="1" s="1"/>
  <c r="H32" i="1"/>
  <c r="H34" i="1" s="1"/>
  <c r="G32" i="1"/>
  <c r="G34" i="1" s="1"/>
  <c r="F32" i="1"/>
  <c r="F34" i="1" s="1"/>
  <c r="E32" i="1"/>
  <c r="E34" i="1" s="1"/>
  <c r="D32" i="1"/>
  <c r="D34" i="1" s="1"/>
  <c r="B32" i="1"/>
  <c r="N31" i="1"/>
  <c r="N30" i="1"/>
  <c r="N29" i="1"/>
  <c r="M26" i="1"/>
  <c r="K26" i="1"/>
  <c r="I26" i="1"/>
  <c r="G26" i="1"/>
  <c r="E26" i="1"/>
  <c r="C26" i="1"/>
  <c r="M25" i="1"/>
  <c r="L25" i="1"/>
  <c r="L26" i="1" s="1"/>
  <c r="K25" i="1"/>
  <c r="J25" i="1"/>
  <c r="J26" i="1" s="1"/>
  <c r="I25" i="1"/>
  <c r="H25" i="1"/>
  <c r="H26" i="1" s="1"/>
  <c r="G25" i="1"/>
  <c r="F25" i="1"/>
  <c r="F26" i="1" s="1"/>
  <c r="E25" i="1"/>
  <c r="D25" i="1"/>
  <c r="D26" i="1" s="1"/>
  <c r="C25" i="1"/>
  <c r="B25" i="1"/>
  <c r="B26" i="1" s="1"/>
  <c r="M22" i="1"/>
  <c r="K22" i="1"/>
  <c r="J22" i="1"/>
  <c r="I22" i="1"/>
  <c r="H22" i="1"/>
  <c r="B22" i="1"/>
  <c r="M21" i="1"/>
  <c r="L21" i="1"/>
  <c r="L22" i="1" s="1"/>
  <c r="K21" i="1"/>
  <c r="G21" i="1"/>
  <c r="G22" i="1" s="1"/>
  <c r="F21" i="1"/>
  <c r="F22" i="1" s="1"/>
  <c r="E21" i="1"/>
  <c r="E22" i="1" s="1"/>
  <c r="D21" i="1"/>
  <c r="D22" i="1" s="1"/>
  <c r="C21" i="1"/>
  <c r="N21" i="1" s="1"/>
  <c r="M18" i="1"/>
  <c r="L18" i="1"/>
  <c r="K18" i="1"/>
  <c r="J18" i="1"/>
  <c r="I18" i="1"/>
  <c r="H18" i="1"/>
  <c r="G18" i="1"/>
  <c r="F18" i="1"/>
  <c r="E18" i="1"/>
  <c r="D18" i="1"/>
  <c r="C18" i="1"/>
  <c r="B18" i="1"/>
  <c r="N18" i="1" s="1"/>
  <c r="N17" i="1"/>
  <c r="N16" i="1"/>
  <c r="N15" i="1"/>
  <c r="A15" i="1"/>
  <c r="N14" i="1"/>
  <c r="M11" i="1"/>
  <c r="L11" i="1"/>
  <c r="K11" i="1"/>
  <c r="J11" i="1"/>
  <c r="I11" i="1"/>
  <c r="H11" i="1"/>
  <c r="G11" i="1"/>
  <c r="E11" i="1"/>
  <c r="D11" i="1"/>
  <c r="C11" i="1"/>
  <c r="B11" i="1"/>
  <c r="N10" i="1"/>
  <c r="N9" i="1"/>
  <c r="N8" i="1"/>
  <c r="N7" i="1"/>
  <c r="N11" i="1" s="1"/>
  <c r="F7" i="1"/>
  <c r="F11" i="1" s="1"/>
  <c r="O9" i="1" l="1"/>
  <c r="O16" i="1"/>
  <c r="N26" i="1"/>
  <c r="P10" i="1"/>
  <c r="P14" i="1"/>
  <c r="P17" i="1"/>
  <c r="N34" i="1"/>
  <c r="N52" i="1"/>
  <c r="Q10" i="1"/>
  <c r="Q9" i="1"/>
  <c r="P8" i="1"/>
  <c r="P7" i="1"/>
  <c r="P11" i="1" s="1"/>
  <c r="O10" i="1"/>
  <c r="O15" i="1"/>
  <c r="O14" i="1"/>
  <c r="Q8" i="1"/>
  <c r="P15" i="1"/>
  <c r="C22" i="1"/>
  <c r="N22" i="1" s="1"/>
  <c r="N25" i="1"/>
  <c r="N32" i="1"/>
  <c r="O7" i="1"/>
  <c r="O8" i="1"/>
  <c r="O17" i="1"/>
  <c r="Q7" i="1"/>
  <c r="Q11" i="1" s="1"/>
  <c r="N42" i="1"/>
  <c r="N53" i="1" s="1"/>
  <c r="O11" i="1" l="1"/>
  <c r="O18" i="1"/>
  <c r="P18" i="1"/>
</calcChain>
</file>

<file path=xl/comments1.xml><?xml version="1.0" encoding="utf-8"?>
<comments xmlns="http://schemas.openxmlformats.org/spreadsheetml/2006/main">
  <authors>
    <author>Don Tanner</author>
    <author>Erie Municipal Airport Authority</author>
  </authors>
  <commentList>
    <comment ref="A6" authorId="0">
      <text>
        <r>
          <rPr>
            <sz val="8"/>
            <color indexed="81"/>
            <rFont val="Tahoma"/>
            <family val="2"/>
          </rPr>
          <t>People count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>Don Tanner:</t>
        </r>
        <r>
          <rPr>
            <sz val="8"/>
            <color indexed="81"/>
            <rFont val="Tahoma"/>
            <family val="2"/>
          </rPr>
          <t xml:space="preserve">
weight in pounds
"enplaned"</t>
        </r>
      </text>
    </comment>
    <comment ref="A21" authorId="1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NW,USAir,Comair</t>
        </r>
      </text>
    </comment>
    <comment ref="A24" authorId="0">
      <text>
        <r>
          <rPr>
            <sz val="8"/>
            <color indexed="81"/>
            <rFont val="Tahoma"/>
            <family val="2"/>
          </rPr>
          <t>weight in pounds
"deplaned"</t>
        </r>
      </text>
    </comment>
    <comment ref="A25" authorId="1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MtnAir Cargo (off) deplaned
+ Mesaba
+ Delta (Comair)</t>
        </r>
      </text>
    </comment>
    <comment ref="A28" authorId="1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This report comes from Patty at the FAA.</t>
        </r>
      </text>
    </comment>
    <comment ref="A29" authorId="1">
      <text>
        <r>
          <rPr>
            <sz val="8"/>
            <color indexed="81"/>
            <rFont val="Tahoma"/>
            <family val="2"/>
          </rPr>
          <t>AC (17-21)
Spcl Charters: i.e. (gamblers/Mercyhurst)</t>
        </r>
      </text>
    </comment>
    <comment ref="A30" authorId="1">
      <text>
        <r>
          <rPr>
            <sz val="8"/>
            <color indexed="81"/>
            <rFont val="Tahoma"/>
            <family val="2"/>
          </rPr>
          <t>AT (22-26)
Major Carriers &amp;
FedEx</t>
        </r>
      </text>
    </comment>
    <comment ref="A31" authorId="1">
      <text>
        <r>
          <rPr>
            <sz val="8"/>
            <color indexed="81"/>
            <rFont val="Tahoma"/>
            <family val="2"/>
          </rPr>
          <t>GA (27-31)
GE, Lord etc.</t>
        </r>
      </text>
    </comment>
    <comment ref="A32" authorId="1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MI (32-36)  +
Military (42-46)</t>
        </r>
      </text>
    </comment>
    <comment ref="A33" authorId="1">
      <text>
        <r>
          <rPr>
            <sz val="8"/>
            <color indexed="81"/>
            <rFont val="Tahoma"/>
            <family val="2"/>
          </rPr>
          <t xml:space="preserve">Civil (37-41)
Cesna, Flt School, Touch-n-Go.
</t>
        </r>
      </text>
    </comment>
    <comment ref="A34" authorId="1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Should match
Total Operations
from Airport Traffic Record.</t>
        </r>
      </text>
    </comment>
    <comment ref="A47" authorId="1">
      <text>
        <r>
          <rPr>
            <sz val="8"/>
            <color indexed="81"/>
            <rFont val="Tahoma"/>
            <family val="2"/>
          </rPr>
          <t>B737=198,076# round trip flight
154,500# B727 flight
B737-200 117,000# (ref. Feb '11 North Coast invoice)
B737-400 138,500#
B737-700 133,001#
Airbus 320 162,040# round trip = 324,080#
MD87 140,000 landing weight</t>
        </r>
      </text>
    </comment>
    <comment ref="A48" authorId="1">
      <text>
        <r>
          <rPr>
            <b/>
            <sz val="8"/>
            <color indexed="81"/>
            <rFont val="Tahoma"/>
            <family val="2"/>
          </rPr>
          <t>MD-83&amp;87 = 139,500</t>
        </r>
      </text>
    </comment>
  </commentList>
</comments>
</file>

<file path=xl/sharedStrings.xml><?xml version="1.0" encoding="utf-8"?>
<sst xmlns="http://schemas.openxmlformats.org/spreadsheetml/2006/main" count="68" uniqueCount="59">
  <si>
    <t>Airport Traffic Statistics Report</t>
  </si>
  <si>
    <t>Erie Municipal Airport Authority</t>
  </si>
  <si>
    <t>% reflects</t>
  </si>
  <si>
    <t>signatory</t>
  </si>
  <si>
    <t>airlines</t>
  </si>
  <si>
    <t xml:space="preserve">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</si>
  <si>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</si>
  <si>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</si>
  <si>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</si>
  <si>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</si>
  <si>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</si>
  <si>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</si>
  <si>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</si>
  <si>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</si>
  <si>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</si>
  <si>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</si>
  <si>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</si>
  <si>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</si>
  <si>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</si>
  <si>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(only)</t>
  </si>
  <si>
    <t>ENPLANEMENTS</t>
  </si>
  <si>
    <t>USAir (Piedmont)</t>
  </si>
  <si>
    <t>Delta(Endeavor/Express/Shuttle)</t>
  </si>
  <si>
    <t>Charters(NoCoast/Alleg)</t>
  </si>
  <si>
    <t>United (Express)</t>
  </si>
  <si>
    <t>DEPLANEMENTS</t>
  </si>
  <si>
    <t>USAir/AirWis/Piedmont</t>
  </si>
  <si>
    <t>United</t>
  </si>
  <si>
    <t>CARGO ON (enplaned)</t>
  </si>
  <si>
    <t xml:space="preserve">Cargo  </t>
  </si>
  <si>
    <t>CARGO OFF (deplaned)</t>
  </si>
  <si>
    <t>OPERATIONS</t>
  </si>
  <si>
    <t>Carrier</t>
  </si>
  <si>
    <t>AC</t>
  </si>
  <si>
    <t>Comm/Taxi</t>
  </si>
  <si>
    <t>AT</t>
  </si>
  <si>
    <t>Civil ITN</t>
  </si>
  <si>
    <t>GA</t>
  </si>
  <si>
    <t>Military</t>
  </si>
  <si>
    <t>MI+Military</t>
  </si>
  <si>
    <t>Civil LOC</t>
  </si>
  <si>
    <t>Civil</t>
  </si>
  <si>
    <t>Total Operations</t>
  </si>
  <si>
    <t>LANDED WEIGHT:</t>
  </si>
  <si>
    <t>US Air</t>
  </si>
  <si>
    <t>CRJ-70/200, 100/200</t>
  </si>
  <si>
    <t>DH8-100,200,300</t>
  </si>
  <si>
    <t>Delta (Mesaba/Pinnacle)</t>
  </si>
  <si>
    <t>SFC / Saab B+</t>
  </si>
  <si>
    <t>CRJ &amp;/or ERJ</t>
  </si>
  <si>
    <t>United (Commut)</t>
  </si>
  <si>
    <t>ERJ135/145</t>
  </si>
  <si>
    <t>DH8</t>
  </si>
  <si>
    <t>Charters</t>
  </si>
  <si>
    <t>N.Coast B737-200/400/700,AB320</t>
  </si>
  <si>
    <t>Allegiant MD83/87 Republic EMB190</t>
  </si>
  <si>
    <t>Cargo</t>
  </si>
  <si>
    <t>Mountain Air C208</t>
  </si>
  <si>
    <t>CSAAirC208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</si>
</sst>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164" formatCode="0.0%"/>
    <numFmt numFmtId="165" formatCode="mmmm\ d\,\ yyyy"/>
    <numFmt numFmtId="166" formatCode="#,##0.00;[Red]\(#,##0.00\)"/>
  </numFmts>
  <fonts count="15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ill="0" applyBorder="0" applyAlignment="0" applyProtection="0"/>
    <xf numFmtId="165" fontId="1" fillId="0" borderId="0" applyFill="0" applyBorder="0" applyAlignment="0" applyProtection="0"/>
    <xf numFmtId="2" fontId="1" fillId="0" borderId="0" applyFill="0" applyBorder="0" applyAlignment="0" applyProtection="0"/>
    <xf numFmtId="166" fontId="10" fillId="3" borderId="0">
      <alignment horizontal="right"/>
    </xf>
    <xf numFmtId="0" fontId="11" fillId="4" borderId="0">
      <alignment horizontal="center"/>
    </xf>
    <xf numFmtId="0" fontId="12" fillId="5" borderId="0"/>
    <xf numFmtId="0" fontId="13" fillId="3" borderId="0" applyBorder="0">
      <alignment horizontal="centerContinuous"/>
    </xf>
    <xf numFmtId="0" fontId="14" fillId="5" borderId="0" applyBorder="0">
      <alignment horizontal="centerContinuous"/>
    </xf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/>
    <xf numFmtId="0" fontId="4" fillId="0" borderId="0" xfId="0" applyFont="1"/>
    <xf numFmtId="3" fontId="0" fillId="0" borderId="0" xfId="0" applyNumberFormat="1"/>
    <xf numFmtId="3" fontId="0" fillId="0" borderId="0" xfId="0" applyNumberFormat="1" applyFill="1"/>
    <xf numFmtId="164" fontId="1" fillId="0" borderId="0" xfId="1" applyNumberFormat="1"/>
    <xf numFmtId="10" fontId="0" fillId="0" borderId="0" xfId="0" applyNumberFormat="1"/>
    <xf numFmtId="0" fontId="5" fillId="0" borderId="0" xfId="0" applyFont="1"/>
    <xf numFmtId="3" fontId="6" fillId="0" borderId="0" xfId="0" applyNumberFormat="1" applyFont="1" applyFill="1"/>
    <xf numFmtId="3" fontId="6" fillId="0" borderId="0" xfId="0" applyNumberFormat="1" applyFont="1"/>
    <xf numFmtId="0" fontId="6" fillId="0" borderId="0" xfId="0" applyFont="1"/>
    <xf numFmtId="3" fontId="0" fillId="0" borderId="1" xfId="0" applyNumberFormat="1" applyBorder="1"/>
    <xf numFmtId="3" fontId="0" fillId="0" borderId="1" xfId="0" applyNumberFormat="1" applyFill="1" applyBorder="1"/>
    <xf numFmtId="164" fontId="1" fillId="0" borderId="1" xfId="1" applyNumberFormat="1" applyBorder="1"/>
    <xf numFmtId="164" fontId="0" fillId="0" borderId="0" xfId="0" applyNumberFormat="1"/>
    <xf numFmtId="164" fontId="0" fillId="0" borderId="2" xfId="0" applyNumberFormat="1" applyBorder="1"/>
    <xf numFmtId="0" fontId="0" fillId="0" borderId="1" xfId="0" applyBorder="1"/>
    <xf numFmtId="3" fontId="6" fillId="0" borderId="1" xfId="0" applyNumberFormat="1" applyFont="1" applyFill="1" applyBorder="1"/>
    <xf numFmtId="3" fontId="0" fillId="0" borderId="0" xfId="0" applyNumberFormat="1" applyBorder="1"/>
    <xf numFmtId="3" fontId="0" fillId="0" borderId="0" xfId="0" applyNumberForma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0" fontId="7" fillId="2" borderId="0" xfId="0" applyFont="1" applyFill="1"/>
    <xf numFmtId="0" fontId="6" fillId="0" borderId="0" xfId="0" applyFont="1" applyFill="1"/>
    <xf numFmtId="0" fontId="3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Fill="1"/>
    <xf numFmtId="0" fontId="5" fillId="0" borderId="0" xfId="0" applyFont="1" applyAlignment="1">
      <alignment horizontal="left"/>
    </xf>
    <xf numFmtId="0" fontId="0" fillId="0" borderId="0" xfId="0" applyFill="1" applyBorder="1"/>
    <xf numFmtId="0" fontId="0" fillId="0" borderId="0" xfId="0" applyBorder="1"/>
    <xf numFmtId="0" fontId="0" fillId="0" borderId="1" xfId="0" applyFill="1" applyBorder="1"/>
  </cellXfs>
  <cellStyles count="11">
    <cellStyle name="Comma0" xfId="2"/>
    <cellStyle name="Currency0" xfId="3"/>
    <cellStyle name="Date" xfId="4"/>
    <cellStyle name="Fixed" xfId="5"/>
    <cellStyle name="Normal" xfId="0" builtinId="0"/>
    <cellStyle name="OUTPUT AMOUNTS" xfId="6"/>
    <cellStyle name="OUTPUT COLUMN HEADINGS" xfId="7"/>
    <cellStyle name="OUTPUT LINE ITEMS" xfId="8"/>
    <cellStyle name="OUTPUT REPORT HEADING" xfId="9"/>
    <cellStyle name="OUTPUT REPORT TITLE" xfId="1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S29" sqref="S29"/>
    </sheetView>
  </sheetViews>
  <sheetFormatPr defaultRowHeight="12.75" x14ac:dyDescent="0.2"/>
  <cols>
    <col min="1" max="1" width="20.42578125" customWidth="1"/>
    <col min="6" max="6" width="9.140625" style="3"/>
    <col min="13" max="13" width="8" bestFit="1" customWidth="1"/>
    <col min="14" max="14" width="10" bestFit="1" customWidth="1"/>
    <col min="15" max="15" width="7.28515625" hidden="1" customWidth="1"/>
    <col min="16" max="16" width="9" customWidth="1"/>
  </cols>
  <sheetData>
    <row r="1" spans="1:17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2" t="s">
        <v>2</v>
      </c>
    </row>
    <row r="3" spans="1:17" ht="12.75" customHeight="1" x14ac:dyDescent="0.25">
      <c r="A3" s="1">
        <v>2015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2" t="s">
        <v>3</v>
      </c>
    </row>
    <row r="4" spans="1:17" ht="12" customHeight="1" x14ac:dyDescent="0.2">
      <c r="P4" s="2" t="s">
        <v>4</v>
      </c>
    </row>
    <row r="5" spans="1:17" s="4" customFormat="1" ht="12" customHeight="1" x14ac:dyDescent="0.2">
      <c r="A5" s="4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6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  <c r="N5" s="5" t="s">
        <v>18</v>
      </c>
      <c r="P5" s="2" t="s">
        <v>19</v>
      </c>
    </row>
    <row r="6" spans="1:17" ht="12" customHeight="1" x14ac:dyDescent="0.2">
      <c r="A6" s="7" t="s">
        <v>20</v>
      </c>
      <c r="I6" s="3"/>
    </row>
    <row r="7" spans="1:17" ht="12" customHeight="1" x14ac:dyDescent="0.2">
      <c r="A7" s="8" t="s">
        <v>21</v>
      </c>
      <c r="B7" s="9">
        <v>1460</v>
      </c>
      <c r="C7" s="10">
        <v>1265</v>
      </c>
      <c r="D7" s="9">
        <v>1442</v>
      </c>
      <c r="E7" s="9">
        <v>1659</v>
      </c>
      <c r="F7" s="10">
        <f>2418+3</f>
        <v>2421</v>
      </c>
      <c r="G7" s="9">
        <v>2076</v>
      </c>
      <c r="H7" s="9">
        <v>2025</v>
      </c>
      <c r="I7" s="10">
        <v>2098</v>
      </c>
      <c r="J7" s="10">
        <v>1707</v>
      </c>
      <c r="K7" s="9">
        <v>1654</v>
      </c>
      <c r="L7" s="10">
        <v>1543</v>
      </c>
      <c r="M7" s="9">
        <v>1636</v>
      </c>
      <c r="N7" s="9">
        <f>SUM(B7:M7)</f>
        <v>20986</v>
      </c>
      <c r="O7" s="11">
        <f>+N7/N$11</f>
        <v>0.23425273756236953</v>
      </c>
      <c r="P7" s="11">
        <f>+N7/(N$11-N$9)</f>
        <v>0.23425273756236953</v>
      </c>
      <c r="Q7" s="12">
        <f>+N7/N$11</f>
        <v>0.23425273756236953</v>
      </c>
    </row>
    <row r="8" spans="1:17" ht="12" customHeight="1" x14ac:dyDescent="0.2">
      <c r="A8" s="13" t="s">
        <v>22</v>
      </c>
      <c r="B8" s="9">
        <v>3146</v>
      </c>
      <c r="C8" s="10">
        <v>2839</v>
      </c>
      <c r="D8" s="9">
        <v>3292</v>
      </c>
      <c r="E8" s="9">
        <v>3452</v>
      </c>
      <c r="F8" s="10">
        <v>3164</v>
      </c>
      <c r="G8" s="9">
        <v>3640</v>
      </c>
      <c r="H8" s="9">
        <v>3565</v>
      </c>
      <c r="I8" s="10">
        <v>3577</v>
      </c>
      <c r="J8" s="10">
        <v>3387</v>
      </c>
      <c r="K8" s="9">
        <v>3295</v>
      </c>
      <c r="L8" s="10">
        <v>2992</v>
      </c>
      <c r="M8" s="10">
        <v>3619</v>
      </c>
      <c r="N8" s="9">
        <f>SUM(B8:M8)</f>
        <v>39968</v>
      </c>
      <c r="O8" s="11">
        <f>+N8/N$11</f>
        <v>0.44613615814794555</v>
      </c>
      <c r="P8" s="11">
        <f>+N8/(N$11-N$9)</f>
        <v>0.44613615814794555</v>
      </c>
      <c r="Q8" s="12">
        <f>+N8/N$11</f>
        <v>0.44613615814794555</v>
      </c>
    </row>
    <row r="9" spans="1:17" ht="12" customHeight="1" x14ac:dyDescent="0.2">
      <c r="A9" t="s">
        <v>23</v>
      </c>
      <c r="B9" s="9"/>
      <c r="C9" s="10"/>
      <c r="D9" s="9"/>
      <c r="E9" s="9"/>
      <c r="F9" s="10"/>
      <c r="G9" s="9"/>
      <c r="H9" s="9"/>
      <c r="I9" s="10"/>
      <c r="J9" s="14"/>
      <c r="K9" s="9"/>
      <c r="L9" s="10"/>
      <c r="M9" s="15"/>
      <c r="N9" s="9">
        <f>SUM(B9:M9)</f>
        <v>0</v>
      </c>
      <c r="O9" s="11">
        <f>+N9/N$11</f>
        <v>0</v>
      </c>
      <c r="P9" s="11"/>
      <c r="Q9" s="12">
        <f>+N9/N$11</f>
        <v>0</v>
      </c>
    </row>
    <row r="10" spans="1:17" ht="12" customHeight="1" x14ac:dyDescent="0.2">
      <c r="A10" s="16" t="s">
        <v>24</v>
      </c>
      <c r="B10" s="17">
        <v>2382</v>
      </c>
      <c r="C10" s="18">
        <v>2143</v>
      </c>
      <c r="D10" s="17">
        <v>2433</v>
      </c>
      <c r="E10" s="17">
        <v>2418</v>
      </c>
      <c r="F10" s="18">
        <v>2441</v>
      </c>
      <c r="G10" s="17">
        <v>2097</v>
      </c>
      <c r="H10" s="18">
        <v>2497</v>
      </c>
      <c r="I10" s="18">
        <v>2679</v>
      </c>
      <c r="J10" s="18">
        <v>2444</v>
      </c>
      <c r="K10" s="17">
        <v>2559</v>
      </c>
      <c r="L10" s="18">
        <v>2275</v>
      </c>
      <c r="M10" s="17">
        <v>2265</v>
      </c>
      <c r="N10" s="17">
        <f>SUM(B10:M10)</f>
        <v>28633</v>
      </c>
      <c r="O10" s="19">
        <f>+N10/N$11</f>
        <v>0.31961110428968487</v>
      </c>
      <c r="P10" s="11">
        <f>+N10/(N$11-N$9)</f>
        <v>0.31961110428968487</v>
      </c>
      <c r="Q10" s="12">
        <f>+N10/N$11</f>
        <v>0.31961110428968487</v>
      </c>
    </row>
    <row r="11" spans="1:17" ht="12" customHeight="1" x14ac:dyDescent="0.2">
      <c r="A11" t="s">
        <v>18</v>
      </c>
      <c r="B11" s="9">
        <f t="shared" ref="B11:P11" si="0">SUM(B7:B10)</f>
        <v>6988</v>
      </c>
      <c r="C11" s="10">
        <f t="shared" si="0"/>
        <v>6247</v>
      </c>
      <c r="D11" s="9">
        <f t="shared" si="0"/>
        <v>7167</v>
      </c>
      <c r="E11" s="9">
        <f t="shared" si="0"/>
        <v>7529</v>
      </c>
      <c r="F11" s="9">
        <f t="shared" si="0"/>
        <v>8026</v>
      </c>
      <c r="G11" s="9">
        <f t="shared" si="0"/>
        <v>7813</v>
      </c>
      <c r="H11" s="9">
        <f t="shared" si="0"/>
        <v>8087</v>
      </c>
      <c r="I11" s="10">
        <f t="shared" si="0"/>
        <v>8354</v>
      </c>
      <c r="J11" s="10">
        <f t="shared" si="0"/>
        <v>7538</v>
      </c>
      <c r="K11" s="9">
        <f t="shared" si="0"/>
        <v>7508</v>
      </c>
      <c r="L11" s="10">
        <f t="shared" si="0"/>
        <v>6810</v>
      </c>
      <c r="M11" s="9">
        <f t="shared" si="0"/>
        <v>7520</v>
      </c>
      <c r="N11" s="9">
        <f t="shared" si="0"/>
        <v>89587</v>
      </c>
      <c r="O11" s="20">
        <f t="shared" si="0"/>
        <v>0.99999999999999989</v>
      </c>
      <c r="P11" s="21">
        <f t="shared" si="0"/>
        <v>0.99999999999999989</v>
      </c>
      <c r="Q11" s="12">
        <f>SUM(Q7:Q10)</f>
        <v>0.99999999999999989</v>
      </c>
    </row>
    <row r="12" spans="1:17" ht="12" customHeight="1" x14ac:dyDescent="0.2">
      <c r="A12" t="s">
        <v>5</v>
      </c>
      <c r="B12" s="9"/>
      <c r="C12" s="10"/>
      <c r="D12" s="9"/>
      <c r="E12" s="9"/>
      <c r="F12" s="10"/>
      <c r="G12" s="9"/>
      <c r="H12" s="9"/>
      <c r="I12" s="10"/>
      <c r="J12" s="10"/>
      <c r="K12" s="9"/>
      <c r="L12" s="10"/>
      <c r="M12" s="9"/>
      <c r="N12" s="9"/>
      <c r="O12" s="20"/>
      <c r="P12" s="20"/>
    </row>
    <row r="13" spans="1:17" ht="12" customHeight="1" x14ac:dyDescent="0.2">
      <c r="A13" s="7" t="s">
        <v>25</v>
      </c>
      <c r="B13" s="9"/>
      <c r="C13" s="10"/>
      <c r="D13" s="9"/>
      <c r="E13" s="9"/>
      <c r="F13" s="10"/>
      <c r="G13" s="9"/>
      <c r="H13" s="9"/>
      <c r="I13" s="10"/>
      <c r="J13" s="10"/>
      <c r="K13" s="9"/>
      <c r="L13" s="10"/>
      <c r="M13" s="9"/>
      <c r="N13" s="9"/>
      <c r="O13" s="20"/>
      <c r="P13" s="20"/>
    </row>
    <row r="14" spans="1:17" ht="12" customHeight="1" x14ac:dyDescent="0.2">
      <c r="A14" t="s">
        <v>26</v>
      </c>
      <c r="B14" s="9">
        <v>1448</v>
      </c>
      <c r="C14" s="10">
        <v>1193</v>
      </c>
      <c r="D14" s="9">
        <v>1449</v>
      </c>
      <c r="E14" s="9">
        <v>1656</v>
      </c>
      <c r="F14" s="10">
        <v>2358</v>
      </c>
      <c r="G14" s="9">
        <v>2211</v>
      </c>
      <c r="H14" s="9">
        <v>2131</v>
      </c>
      <c r="I14" s="10">
        <v>2370</v>
      </c>
      <c r="J14" s="10">
        <v>1702</v>
      </c>
      <c r="K14" s="9">
        <v>1706</v>
      </c>
      <c r="L14" s="10">
        <v>1628</v>
      </c>
      <c r="M14" s="9">
        <v>1643</v>
      </c>
      <c r="N14" s="9">
        <f>SUM(B14:M14)</f>
        <v>21495</v>
      </c>
      <c r="O14" s="11">
        <f>+N14/N$18</f>
        <v>0.24497401531728666</v>
      </c>
      <c r="P14" s="11">
        <f>+N14/(N$18-N$16)</f>
        <v>0.24497401531728666</v>
      </c>
    </row>
    <row r="15" spans="1:17" ht="12" customHeight="1" x14ac:dyDescent="0.2">
      <c r="A15" t="str">
        <f>+A8</f>
        <v>Delta(Endeavor/Express/Shuttle)</v>
      </c>
      <c r="B15" s="9">
        <v>3076</v>
      </c>
      <c r="C15" s="10">
        <v>2658</v>
      </c>
      <c r="D15" s="9">
        <v>3241</v>
      </c>
      <c r="E15" s="9">
        <v>3437</v>
      </c>
      <c r="F15" s="10">
        <v>3058</v>
      </c>
      <c r="G15" s="9">
        <v>3340</v>
      </c>
      <c r="H15" s="9">
        <v>3434</v>
      </c>
      <c r="I15" s="10">
        <v>3548</v>
      </c>
      <c r="J15" s="10">
        <v>3284</v>
      </c>
      <c r="K15" s="9">
        <v>3173</v>
      </c>
      <c r="L15" s="10">
        <v>2819</v>
      </c>
      <c r="M15" s="9">
        <v>3334</v>
      </c>
      <c r="N15" s="9">
        <f>SUM(B15:M15)</f>
        <v>38402</v>
      </c>
      <c r="O15" s="11">
        <f>+N15/N$18</f>
        <v>0.43765955506929249</v>
      </c>
      <c r="P15" s="11">
        <f>+N15/(N$18-N$16)</f>
        <v>0.43765955506929249</v>
      </c>
    </row>
    <row r="16" spans="1:17" ht="12" customHeight="1" x14ac:dyDescent="0.2">
      <c r="A16" t="s">
        <v>23</v>
      </c>
      <c r="B16" s="9"/>
      <c r="C16" s="9"/>
      <c r="D16" s="9"/>
      <c r="E16" s="9"/>
      <c r="F16" s="10"/>
      <c r="G16" s="9"/>
      <c r="H16" s="9"/>
      <c r="I16" s="10"/>
      <c r="J16" s="14"/>
      <c r="K16" s="9"/>
      <c r="L16" s="10"/>
      <c r="M16" s="15"/>
      <c r="N16" s="9">
        <f>SUM(B16:M16)</f>
        <v>0</v>
      </c>
      <c r="O16" s="11">
        <f>+N16/N$18</f>
        <v>0</v>
      </c>
      <c r="P16" s="11"/>
    </row>
    <row r="17" spans="1:16" ht="12" customHeight="1" x14ac:dyDescent="0.2">
      <c r="A17" s="16" t="s">
        <v>27</v>
      </c>
      <c r="B17" s="17">
        <v>2276</v>
      </c>
      <c r="C17" s="18">
        <v>1868</v>
      </c>
      <c r="D17" s="17">
        <v>2557</v>
      </c>
      <c r="E17" s="17">
        <v>2136</v>
      </c>
      <c r="F17" s="18">
        <v>2542</v>
      </c>
      <c r="G17" s="17">
        <v>2032</v>
      </c>
      <c r="H17" s="18">
        <v>2327</v>
      </c>
      <c r="I17" s="18">
        <v>2660</v>
      </c>
      <c r="J17" s="18">
        <v>2421</v>
      </c>
      <c r="K17" s="17">
        <v>2511</v>
      </c>
      <c r="L17" s="18">
        <v>2277</v>
      </c>
      <c r="M17" s="17">
        <v>2240</v>
      </c>
      <c r="N17" s="17">
        <f>SUM(B17:M17)</f>
        <v>27847</v>
      </c>
      <c r="O17" s="19">
        <f>+N17/N$18</f>
        <v>0.31736642961342088</v>
      </c>
      <c r="P17" s="19">
        <f>+N17/(N$18-N$16)</f>
        <v>0.31736642961342088</v>
      </c>
    </row>
    <row r="18" spans="1:16" ht="12" customHeight="1" x14ac:dyDescent="0.2">
      <c r="A18" t="s">
        <v>18</v>
      </c>
      <c r="B18" s="9">
        <f t="shared" ref="B18:M18" si="1">SUM(B14:B17)</f>
        <v>6800</v>
      </c>
      <c r="C18" s="10">
        <f t="shared" si="1"/>
        <v>5719</v>
      </c>
      <c r="D18" s="9">
        <f t="shared" si="1"/>
        <v>7247</v>
      </c>
      <c r="E18" s="9">
        <f t="shared" si="1"/>
        <v>7229</v>
      </c>
      <c r="F18" s="9">
        <f t="shared" si="1"/>
        <v>7958</v>
      </c>
      <c r="G18" s="9">
        <f t="shared" si="1"/>
        <v>7583</v>
      </c>
      <c r="H18" s="9">
        <f t="shared" si="1"/>
        <v>7892</v>
      </c>
      <c r="I18" s="9">
        <f t="shared" si="1"/>
        <v>8578</v>
      </c>
      <c r="J18" s="10">
        <f t="shared" si="1"/>
        <v>7407</v>
      </c>
      <c r="K18" s="9">
        <f t="shared" si="1"/>
        <v>7390</v>
      </c>
      <c r="L18" s="10">
        <f t="shared" si="1"/>
        <v>6724</v>
      </c>
      <c r="M18" s="9">
        <f t="shared" si="1"/>
        <v>7217</v>
      </c>
      <c r="N18" s="9">
        <f>SUM(B18:M18)</f>
        <v>87744</v>
      </c>
      <c r="O18" s="20">
        <f>SUM(O14:O17)</f>
        <v>1</v>
      </c>
      <c r="P18" s="20">
        <f>SUM(P14:P17)</f>
        <v>1</v>
      </c>
    </row>
    <row r="19" spans="1:16" ht="12" customHeight="1" x14ac:dyDescent="0.2">
      <c r="A19" t="s">
        <v>5</v>
      </c>
      <c r="B19" s="9"/>
      <c r="C19" s="10"/>
      <c r="D19" s="9"/>
      <c r="E19" s="9"/>
      <c r="F19" s="10"/>
      <c r="G19" s="9"/>
      <c r="H19" s="9"/>
      <c r="I19" s="10"/>
      <c r="J19" s="10"/>
      <c r="K19" s="9"/>
      <c r="L19" s="10"/>
      <c r="M19" s="9"/>
      <c r="N19" s="9"/>
    </row>
    <row r="20" spans="1:16" ht="12" customHeight="1" x14ac:dyDescent="0.2">
      <c r="A20" s="7" t="s">
        <v>28</v>
      </c>
      <c r="B20" s="9"/>
      <c r="C20" s="10"/>
      <c r="D20" s="9"/>
      <c r="E20" s="9"/>
      <c r="F20" s="10"/>
      <c r="G20" s="9"/>
      <c r="H20" s="9"/>
      <c r="I20" s="10"/>
      <c r="J20" s="10"/>
      <c r="K20" s="9"/>
      <c r="L20" s="10"/>
      <c r="M20" s="9"/>
      <c r="N20" s="9"/>
    </row>
    <row r="21" spans="1:16" ht="12" customHeight="1" x14ac:dyDescent="0.2">
      <c r="A21" t="s">
        <v>29</v>
      </c>
      <c r="B21" s="17">
        <v>62</v>
      </c>
      <c r="C21" s="18">
        <f>78+98</f>
        <v>176</v>
      </c>
      <c r="D21" s="17">
        <f>24+2</f>
        <v>26</v>
      </c>
      <c r="E21" s="17">
        <f>199+295</f>
        <v>494</v>
      </c>
      <c r="F21" s="18">
        <f>229+24</f>
        <v>253</v>
      </c>
      <c r="G21" s="17">
        <f>270+228</f>
        <v>498</v>
      </c>
      <c r="H21" s="17">
        <v>98</v>
      </c>
      <c r="I21" s="18">
        <v>297</v>
      </c>
      <c r="J21" s="18">
        <v>190</v>
      </c>
      <c r="K21" s="17">
        <f>5+129+138</f>
        <v>272</v>
      </c>
      <c r="L21" s="18">
        <f>13+94</f>
        <v>107</v>
      </c>
      <c r="M21" s="22">
        <f>160+8+18</f>
        <v>186</v>
      </c>
      <c r="N21" s="17">
        <f>SUM(B21:M21)</f>
        <v>2659</v>
      </c>
    </row>
    <row r="22" spans="1:16" ht="12" customHeight="1" x14ac:dyDescent="0.2">
      <c r="A22" t="s">
        <v>18</v>
      </c>
      <c r="B22" s="9">
        <f t="shared" ref="B22:M22" si="2">SUM(B21:B21)</f>
        <v>62</v>
      </c>
      <c r="C22" s="10">
        <f t="shared" si="2"/>
        <v>176</v>
      </c>
      <c r="D22" s="9">
        <f t="shared" si="2"/>
        <v>26</v>
      </c>
      <c r="E22" s="9">
        <f t="shared" si="2"/>
        <v>494</v>
      </c>
      <c r="F22" s="9">
        <f t="shared" si="2"/>
        <v>253</v>
      </c>
      <c r="G22" s="9">
        <f t="shared" si="2"/>
        <v>498</v>
      </c>
      <c r="H22" s="9">
        <f t="shared" si="2"/>
        <v>98</v>
      </c>
      <c r="I22" s="9">
        <f t="shared" si="2"/>
        <v>297</v>
      </c>
      <c r="J22" s="10">
        <f t="shared" si="2"/>
        <v>190</v>
      </c>
      <c r="K22" s="9">
        <f t="shared" si="2"/>
        <v>272</v>
      </c>
      <c r="L22" s="10">
        <f t="shared" si="2"/>
        <v>107</v>
      </c>
      <c r="M22" s="9">
        <f t="shared" si="2"/>
        <v>186</v>
      </c>
      <c r="N22" s="9">
        <f>SUM(B22:M22)</f>
        <v>2659</v>
      </c>
    </row>
    <row r="23" spans="1:16" ht="12" customHeight="1" x14ac:dyDescent="0.2">
      <c r="B23" s="9"/>
      <c r="C23" s="10"/>
      <c r="D23" s="9"/>
      <c r="E23" s="9"/>
      <c r="F23" s="10"/>
      <c r="G23" s="9"/>
      <c r="H23" s="9"/>
      <c r="I23" s="10"/>
      <c r="J23" s="10"/>
      <c r="K23" s="9"/>
      <c r="L23" s="10"/>
      <c r="M23" s="9"/>
      <c r="N23" s="9"/>
    </row>
    <row r="24" spans="1:16" ht="12" customHeight="1" x14ac:dyDescent="0.2">
      <c r="A24" s="7" t="s">
        <v>30</v>
      </c>
      <c r="B24" s="9"/>
      <c r="C24" s="10"/>
      <c r="D24" s="9"/>
      <c r="E24" s="9"/>
      <c r="F24" s="10"/>
      <c r="G24" s="9"/>
      <c r="H24" s="9"/>
      <c r="I24" s="10"/>
      <c r="J24" s="10"/>
      <c r="K24" s="9"/>
      <c r="L24" s="10"/>
      <c r="M24" s="9"/>
      <c r="N24" s="9"/>
    </row>
    <row r="25" spans="1:16" ht="12" customHeight="1" x14ac:dyDescent="0.2">
      <c r="A25" t="s">
        <v>29</v>
      </c>
      <c r="B25" s="23">
        <f>21480+246+245</f>
        <v>21971</v>
      </c>
      <c r="C25" s="18">
        <f>250+280+49+21112</f>
        <v>21691</v>
      </c>
      <c r="D25" s="18">
        <f>423+198+15+289+23295</f>
        <v>24220</v>
      </c>
      <c r="E25" s="17">
        <f>234+220+80+22154</f>
        <v>22688</v>
      </c>
      <c r="F25" s="18">
        <f>319+709</f>
        <v>1028</v>
      </c>
      <c r="G25" s="17">
        <f>484+380+19758</f>
        <v>20622</v>
      </c>
      <c r="H25" s="17">
        <f>349+370+23319</f>
        <v>24038</v>
      </c>
      <c r="I25" s="18">
        <f>269+193+22643</f>
        <v>23105</v>
      </c>
      <c r="J25" s="18">
        <f>19015+265+205</f>
        <v>19485</v>
      </c>
      <c r="K25" s="17">
        <f>221+34+345+19647</f>
        <v>20247</v>
      </c>
      <c r="L25" s="18">
        <f>222+215+18+18050</f>
        <v>18505</v>
      </c>
      <c r="M25" s="18">
        <f>106+230+205+35699</f>
        <v>36240</v>
      </c>
      <c r="N25" s="17">
        <f>SUM(B25:M25)</f>
        <v>253840</v>
      </c>
    </row>
    <row r="26" spans="1:16" ht="12" customHeight="1" x14ac:dyDescent="0.2">
      <c r="A26" t="s">
        <v>18</v>
      </c>
      <c r="B26" s="9">
        <f t="shared" ref="B26:M26" si="3">SUM(B25:B25)</f>
        <v>21971</v>
      </c>
      <c r="C26" s="10">
        <f t="shared" si="3"/>
        <v>21691</v>
      </c>
      <c r="D26" s="9">
        <f t="shared" si="3"/>
        <v>24220</v>
      </c>
      <c r="E26" s="9">
        <f t="shared" si="3"/>
        <v>22688</v>
      </c>
      <c r="F26" s="9">
        <f t="shared" si="3"/>
        <v>1028</v>
      </c>
      <c r="G26" s="9">
        <f t="shared" si="3"/>
        <v>20622</v>
      </c>
      <c r="H26" s="9">
        <f t="shared" si="3"/>
        <v>24038</v>
      </c>
      <c r="I26" s="9">
        <f t="shared" si="3"/>
        <v>23105</v>
      </c>
      <c r="J26" s="10">
        <f t="shared" si="3"/>
        <v>19485</v>
      </c>
      <c r="K26" s="9">
        <f t="shared" si="3"/>
        <v>20247</v>
      </c>
      <c r="L26" s="10">
        <f t="shared" si="3"/>
        <v>18505</v>
      </c>
      <c r="M26" s="9">
        <f t="shared" si="3"/>
        <v>36240</v>
      </c>
      <c r="N26" s="9">
        <f>SUM(B26:M26)</f>
        <v>253840</v>
      </c>
    </row>
    <row r="27" spans="1:16" ht="12" customHeight="1" x14ac:dyDescent="0.2">
      <c r="B27" s="9"/>
      <c r="C27" s="10"/>
      <c r="D27" s="9"/>
      <c r="E27" s="9"/>
      <c r="F27" s="10"/>
      <c r="G27" s="9"/>
      <c r="H27" s="9"/>
      <c r="I27" s="10"/>
      <c r="J27" s="10"/>
      <c r="K27" s="9"/>
      <c r="L27" s="10"/>
      <c r="M27" s="9"/>
      <c r="N27" s="9"/>
    </row>
    <row r="28" spans="1:16" ht="12" customHeight="1" x14ac:dyDescent="0.2">
      <c r="A28" s="7" t="s">
        <v>31</v>
      </c>
      <c r="B28" s="9"/>
      <c r="C28" s="10"/>
      <c r="D28" s="9"/>
      <c r="E28" s="9"/>
      <c r="F28" s="10"/>
      <c r="G28" s="9"/>
      <c r="H28" s="9"/>
      <c r="I28" s="10"/>
      <c r="J28" s="10"/>
      <c r="K28" s="9"/>
      <c r="L28" s="10"/>
      <c r="M28" s="9"/>
      <c r="N28" s="9"/>
    </row>
    <row r="29" spans="1:16" ht="12" customHeight="1" x14ac:dyDescent="0.2">
      <c r="A29" t="s">
        <v>32</v>
      </c>
      <c r="B29" s="9">
        <v>2</v>
      </c>
      <c r="C29" s="10">
        <v>0</v>
      </c>
      <c r="D29" s="9">
        <v>8</v>
      </c>
      <c r="E29" s="10">
        <v>50</v>
      </c>
      <c r="F29" s="10">
        <v>10</v>
      </c>
      <c r="G29" s="9">
        <v>57</v>
      </c>
      <c r="H29" s="9">
        <v>1</v>
      </c>
      <c r="I29" s="10">
        <v>0</v>
      </c>
      <c r="J29" s="10">
        <v>0</v>
      </c>
      <c r="K29" s="9">
        <v>0</v>
      </c>
      <c r="L29" s="10">
        <v>0</v>
      </c>
      <c r="M29" s="9">
        <v>0</v>
      </c>
      <c r="N29" s="9">
        <f t="shared" ref="N29:N34" si="4">SUM(B29:M29)</f>
        <v>128</v>
      </c>
      <c r="P29" t="s">
        <v>33</v>
      </c>
    </row>
    <row r="30" spans="1:16" ht="12" customHeight="1" x14ac:dyDescent="0.2">
      <c r="A30" t="s">
        <v>34</v>
      </c>
      <c r="B30" s="9">
        <v>478</v>
      </c>
      <c r="C30" s="10">
        <v>421</v>
      </c>
      <c r="D30" s="9">
        <v>476</v>
      </c>
      <c r="E30" s="10">
        <v>466</v>
      </c>
      <c r="F30" s="10">
        <v>525</v>
      </c>
      <c r="G30" s="9">
        <v>489</v>
      </c>
      <c r="H30" s="9">
        <v>534</v>
      </c>
      <c r="I30" s="10">
        <v>579</v>
      </c>
      <c r="J30" s="10">
        <v>569</v>
      </c>
      <c r="K30" s="9">
        <v>509</v>
      </c>
      <c r="L30" s="10">
        <v>474</v>
      </c>
      <c r="M30" s="9">
        <v>542</v>
      </c>
      <c r="N30" s="9">
        <f t="shared" si="4"/>
        <v>6062</v>
      </c>
      <c r="P30" t="s">
        <v>35</v>
      </c>
    </row>
    <row r="31" spans="1:16" ht="12" customHeight="1" x14ac:dyDescent="0.2">
      <c r="A31" t="s">
        <v>36</v>
      </c>
      <c r="B31" s="9">
        <v>262</v>
      </c>
      <c r="C31" s="10">
        <v>305</v>
      </c>
      <c r="D31" s="9">
        <v>358</v>
      </c>
      <c r="E31" s="10">
        <v>626</v>
      </c>
      <c r="F31" s="10">
        <v>777</v>
      </c>
      <c r="G31" s="9">
        <v>740</v>
      </c>
      <c r="H31" s="9">
        <v>1213</v>
      </c>
      <c r="I31" s="10">
        <v>904</v>
      </c>
      <c r="J31" s="10">
        <v>876</v>
      </c>
      <c r="K31" s="9">
        <v>642</v>
      </c>
      <c r="L31" s="10">
        <v>650</v>
      </c>
      <c r="M31" s="9">
        <v>439</v>
      </c>
      <c r="N31" s="9">
        <f t="shared" si="4"/>
        <v>7792</v>
      </c>
      <c r="P31" t="s">
        <v>37</v>
      </c>
    </row>
    <row r="32" spans="1:16" ht="12" customHeight="1" x14ac:dyDescent="0.2">
      <c r="A32" t="s">
        <v>38</v>
      </c>
      <c r="B32" s="24">
        <f>19+20</f>
        <v>39</v>
      </c>
      <c r="C32" s="25">
        <v>8</v>
      </c>
      <c r="D32" s="24">
        <f>8+2</f>
        <v>10</v>
      </c>
      <c r="E32" s="25">
        <f>29+16</f>
        <v>45</v>
      </c>
      <c r="F32" s="25">
        <f>58+62</f>
        <v>120</v>
      </c>
      <c r="G32" s="24">
        <f>74+90</f>
        <v>164</v>
      </c>
      <c r="H32" s="24">
        <f>48+50</f>
        <v>98</v>
      </c>
      <c r="I32" s="25">
        <f>39+6</f>
        <v>45</v>
      </c>
      <c r="J32" s="25">
        <f>31+50</f>
        <v>81</v>
      </c>
      <c r="K32" s="24">
        <f>60+88</f>
        <v>148</v>
      </c>
      <c r="L32" s="25">
        <f>24+16</f>
        <v>40</v>
      </c>
      <c r="M32" s="24">
        <f>36+62</f>
        <v>98</v>
      </c>
      <c r="N32" s="24">
        <f t="shared" si="4"/>
        <v>896</v>
      </c>
      <c r="P32" t="s">
        <v>39</v>
      </c>
    </row>
    <row r="33" spans="1:16" ht="12" customHeight="1" x14ac:dyDescent="0.2">
      <c r="A33" t="s">
        <v>40</v>
      </c>
      <c r="B33" s="9">
        <v>76</v>
      </c>
      <c r="C33" s="10">
        <v>86</v>
      </c>
      <c r="D33" s="9">
        <v>317</v>
      </c>
      <c r="E33" s="10">
        <v>656</v>
      </c>
      <c r="F33" s="10">
        <v>691</v>
      </c>
      <c r="G33" s="9">
        <v>507</v>
      </c>
      <c r="H33" s="9">
        <v>953</v>
      </c>
      <c r="I33" s="10">
        <v>976</v>
      </c>
      <c r="J33" s="10">
        <v>515</v>
      </c>
      <c r="K33" s="9">
        <v>575</v>
      </c>
      <c r="L33" s="10">
        <v>480</v>
      </c>
      <c r="M33" s="9">
        <v>577</v>
      </c>
      <c r="N33" s="9">
        <f t="shared" si="4"/>
        <v>6409</v>
      </c>
      <c r="P33" t="s">
        <v>41</v>
      </c>
    </row>
    <row r="34" spans="1:16" ht="12" customHeight="1" x14ac:dyDescent="0.2">
      <c r="A34" t="s">
        <v>42</v>
      </c>
      <c r="B34" s="26">
        <f t="shared" ref="B34:M34" si="5">SUM(B29:B33)</f>
        <v>857</v>
      </c>
      <c r="C34" s="27">
        <f t="shared" si="5"/>
        <v>820</v>
      </c>
      <c r="D34" s="26">
        <f t="shared" si="5"/>
        <v>1169</v>
      </c>
      <c r="E34" s="26">
        <f t="shared" si="5"/>
        <v>1843</v>
      </c>
      <c r="F34" s="26">
        <f t="shared" si="5"/>
        <v>2123</v>
      </c>
      <c r="G34" s="26">
        <f t="shared" si="5"/>
        <v>1957</v>
      </c>
      <c r="H34" s="26">
        <f t="shared" si="5"/>
        <v>2799</v>
      </c>
      <c r="I34" s="27">
        <f t="shared" si="5"/>
        <v>2504</v>
      </c>
      <c r="J34" s="27">
        <f t="shared" si="5"/>
        <v>2041</v>
      </c>
      <c r="K34" s="26">
        <f t="shared" si="5"/>
        <v>1874</v>
      </c>
      <c r="L34" s="27">
        <f t="shared" si="5"/>
        <v>1644</v>
      </c>
      <c r="M34" s="26">
        <f t="shared" si="5"/>
        <v>1656</v>
      </c>
      <c r="N34" s="26">
        <f t="shared" si="4"/>
        <v>21287</v>
      </c>
    </row>
    <row r="35" spans="1:16" ht="12" customHeight="1" x14ac:dyDescent="0.2">
      <c r="C35" s="3"/>
      <c r="I35" s="3"/>
      <c r="J35" s="3"/>
      <c r="L35" s="3"/>
    </row>
    <row r="36" spans="1:16" ht="12" customHeight="1" x14ac:dyDescent="0.2">
      <c r="A36" s="7" t="s">
        <v>43</v>
      </c>
      <c r="C36" s="3"/>
      <c r="I36" s="3"/>
      <c r="J36" s="3"/>
      <c r="L36" s="3"/>
    </row>
    <row r="37" spans="1:16" ht="12" customHeight="1" x14ac:dyDescent="0.2">
      <c r="A37" s="7" t="s">
        <v>44</v>
      </c>
      <c r="B37" s="16"/>
      <c r="C37" s="3"/>
      <c r="I37" s="3"/>
      <c r="J37" s="3"/>
      <c r="L37" s="3"/>
      <c r="N37" s="28"/>
    </row>
    <row r="38" spans="1:16" ht="12" customHeight="1" x14ac:dyDescent="0.2">
      <c r="A38" s="29" t="s">
        <v>45</v>
      </c>
      <c r="C38" s="3"/>
      <c r="F38" s="3">
        <v>47000</v>
      </c>
      <c r="G38" s="3"/>
      <c r="H38" s="3"/>
      <c r="I38" s="3"/>
      <c r="J38" s="3"/>
      <c r="K38" s="3"/>
      <c r="L38" s="3"/>
      <c r="M38" s="3"/>
      <c r="N38">
        <f>SUM(B38:M38)</f>
        <v>47000</v>
      </c>
    </row>
    <row r="39" spans="1:16" ht="12" customHeight="1" x14ac:dyDescent="0.2">
      <c r="A39" s="29" t="s">
        <v>46</v>
      </c>
      <c r="B39">
        <v>1830600</v>
      </c>
      <c r="C39" s="3">
        <v>1525500</v>
      </c>
      <c r="D39">
        <v>1695000</v>
      </c>
      <c r="E39">
        <v>1864500</v>
      </c>
      <c r="F39" s="3">
        <v>2610300</v>
      </c>
      <c r="G39" s="3">
        <v>2678100</v>
      </c>
      <c r="H39" s="3">
        <v>2576400</v>
      </c>
      <c r="I39" s="3">
        <v>2983200</v>
      </c>
      <c r="J39" s="3">
        <v>2440800</v>
      </c>
      <c r="K39" s="3">
        <v>2135700</v>
      </c>
      <c r="L39" s="3">
        <v>1898400</v>
      </c>
      <c r="M39" s="3">
        <v>1905600</v>
      </c>
      <c r="N39">
        <f>SUM(B39:M39)</f>
        <v>26144100</v>
      </c>
    </row>
    <row r="40" spans="1:16" ht="12" customHeight="1" x14ac:dyDescent="0.2">
      <c r="A40" s="7" t="s">
        <v>47</v>
      </c>
      <c r="B40" s="16"/>
      <c r="C40" s="3"/>
      <c r="I40" s="3"/>
      <c r="L40" s="3"/>
      <c r="N40" s="28"/>
    </row>
    <row r="41" spans="1:16" ht="12" customHeight="1" x14ac:dyDescent="0.2">
      <c r="A41" s="29" t="s">
        <v>48</v>
      </c>
      <c r="C41" s="3"/>
      <c r="G41" s="3"/>
      <c r="H41" s="3"/>
      <c r="I41" s="3"/>
      <c r="J41" s="3"/>
      <c r="K41" s="3"/>
      <c r="L41" s="3"/>
      <c r="M41" s="3"/>
      <c r="N41">
        <f>SUM(B41:M41)</f>
        <v>0</v>
      </c>
    </row>
    <row r="42" spans="1:16" ht="12" customHeight="1" x14ac:dyDescent="0.2">
      <c r="A42" s="29" t="s">
        <v>49</v>
      </c>
      <c r="B42">
        <v>3728549</v>
      </c>
      <c r="C42" s="3">
        <v>3102000</v>
      </c>
      <c r="D42">
        <v>3377470</v>
      </c>
      <c r="E42">
        <v>4087596</v>
      </c>
      <c r="F42" s="3">
        <v>3414300</v>
      </c>
      <c r="G42" s="3">
        <v>4667400</v>
      </c>
      <c r="H42" s="3">
        <v>3649216</v>
      </c>
      <c r="I42" s="3">
        <v>3531567</v>
      </c>
      <c r="J42" s="3">
        <v>3365822</v>
      </c>
      <c r="K42" s="3">
        <f>1504000+1829607</f>
        <v>3333607</v>
      </c>
      <c r="L42" s="3">
        <v>3180686</v>
      </c>
      <c r="M42" s="3">
        <v>3890666</v>
      </c>
      <c r="N42">
        <f>SUM(B42:M42)</f>
        <v>43328879</v>
      </c>
    </row>
    <row r="43" spans="1:16" ht="12" customHeight="1" x14ac:dyDescent="0.2">
      <c r="A43" s="30" t="s">
        <v>50</v>
      </c>
      <c r="B43" s="16"/>
      <c r="C43" s="3"/>
      <c r="I43" s="3"/>
      <c r="L43" s="3"/>
      <c r="N43" s="28"/>
    </row>
    <row r="44" spans="1:16" ht="12" customHeight="1" x14ac:dyDescent="0.2">
      <c r="A44" s="29" t="s">
        <v>51</v>
      </c>
      <c r="B44">
        <v>2444456</v>
      </c>
      <c r="C44" s="3">
        <v>2182550</v>
      </c>
      <c r="D44">
        <v>2619060</v>
      </c>
      <c r="E44">
        <v>2444456</v>
      </c>
      <c r="F44" s="3">
        <v>2531758</v>
      </c>
      <c r="G44" s="3">
        <v>2444456</v>
      </c>
      <c r="H44" s="3">
        <v>2619060</v>
      </c>
      <c r="I44" s="3">
        <v>2706362</v>
      </c>
      <c r="J44" s="3">
        <v>2531758</v>
      </c>
      <c r="K44" s="3">
        <v>2503542</v>
      </c>
      <c r="L44" s="3">
        <v>2451071</v>
      </c>
      <c r="M44" s="3">
        <v>2545870</v>
      </c>
      <c r="N44">
        <f>SUM(B44:M44)</f>
        <v>30024399</v>
      </c>
    </row>
    <row r="45" spans="1:16" ht="12" customHeight="1" x14ac:dyDescent="0.2">
      <c r="A45" s="29" t="s">
        <v>52</v>
      </c>
      <c r="C45" s="3"/>
      <c r="G45" s="3"/>
      <c r="H45" s="3"/>
      <c r="I45" s="3"/>
      <c r="J45" s="3"/>
      <c r="K45" s="3"/>
      <c r="L45" s="3"/>
      <c r="M45" s="3"/>
      <c r="N45">
        <f>SUM(B45:M45)</f>
        <v>0</v>
      </c>
    </row>
    <row r="46" spans="1:16" ht="12" customHeight="1" x14ac:dyDescent="0.2">
      <c r="A46" s="7" t="s">
        <v>53</v>
      </c>
      <c r="C46" s="3"/>
      <c r="I46" s="3"/>
      <c r="L46" s="3"/>
      <c r="N46" s="28"/>
    </row>
    <row r="47" spans="1:16" ht="12" customHeight="1" x14ac:dyDescent="0.2">
      <c r="A47" s="31" t="s">
        <v>54</v>
      </c>
      <c r="C47" s="3"/>
      <c r="G47" s="3"/>
      <c r="H47" s="3"/>
      <c r="I47" s="3"/>
      <c r="J47" s="32"/>
      <c r="K47" s="32"/>
      <c r="L47" s="32"/>
      <c r="M47" s="32"/>
      <c r="N47">
        <f>SUM(B47:M47)</f>
        <v>0</v>
      </c>
    </row>
    <row r="48" spans="1:16" ht="12" customHeight="1" x14ac:dyDescent="0.2">
      <c r="A48" s="33" t="s">
        <v>55</v>
      </c>
      <c r="C48" s="3"/>
      <c r="G48" s="3"/>
      <c r="H48" s="3"/>
      <c r="I48" s="3"/>
      <c r="J48" s="32"/>
      <c r="K48" s="32"/>
      <c r="L48" s="32"/>
      <c r="M48" s="29"/>
      <c r="N48">
        <f>SUM(B48:M48)</f>
        <v>0</v>
      </c>
    </row>
    <row r="49" spans="1:14" ht="12" customHeight="1" x14ac:dyDescent="0.2">
      <c r="A49" s="7" t="s">
        <v>56</v>
      </c>
      <c r="C49" s="3"/>
      <c r="I49" s="3"/>
      <c r="L49" s="3"/>
      <c r="N49" s="28"/>
    </row>
    <row r="50" spans="1:14" ht="12" customHeight="1" x14ac:dyDescent="0.2">
      <c r="A50" t="s">
        <v>57</v>
      </c>
      <c r="B50" s="34">
        <v>195500</v>
      </c>
      <c r="C50" s="34">
        <v>178500</v>
      </c>
      <c r="D50" s="35">
        <v>170000</v>
      </c>
      <c r="E50" s="34">
        <v>187000</v>
      </c>
      <c r="F50" s="34">
        <v>187000</v>
      </c>
      <c r="G50" s="34">
        <v>187000</v>
      </c>
      <c r="H50" s="34">
        <v>187000</v>
      </c>
      <c r="I50" s="34">
        <v>178500</v>
      </c>
      <c r="J50" s="34">
        <v>187000</v>
      </c>
      <c r="K50" s="34">
        <v>195500</v>
      </c>
      <c r="L50" s="34">
        <v>153000</v>
      </c>
      <c r="M50" s="34">
        <v>263500</v>
      </c>
      <c r="N50" s="35">
        <f>SUM(B50:M50)</f>
        <v>2269500</v>
      </c>
    </row>
    <row r="51" spans="1:14" ht="12" customHeight="1" x14ac:dyDescent="0.2">
      <c r="A51" s="16" t="s">
        <v>58</v>
      </c>
      <c r="B51" s="36"/>
      <c r="C51" s="36"/>
      <c r="D51" s="22"/>
      <c r="E51" s="22"/>
      <c r="F51" s="36"/>
      <c r="G51" s="22"/>
      <c r="H51" s="22"/>
      <c r="I51" s="36"/>
      <c r="J51" s="22"/>
      <c r="K51" s="22"/>
      <c r="L51" s="36"/>
      <c r="M51" s="22"/>
      <c r="N51" s="22">
        <f>SUM(B51:M51)</f>
        <v>0</v>
      </c>
    </row>
    <row r="52" spans="1:14" ht="12" customHeight="1" x14ac:dyDescent="0.2">
      <c r="A52" t="s">
        <v>18</v>
      </c>
      <c r="B52">
        <f t="shared" ref="B52:M52" si="6">SUM(B38:B51)</f>
        <v>8199105</v>
      </c>
      <c r="C52">
        <f t="shared" si="6"/>
        <v>6988550</v>
      </c>
      <c r="D52">
        <f t="shared" si="6"/>
        <v>7861530</v>
      </c>
      <c r="E52">
        <f t="shared" si="6"/>
        <v>8583552</v>
      </c>
      <c r="F52">
        <f t="shared" si="6"/>
        <v>8790358</v>
      </c>
      <c r="G52">
        <f t="shared" si="6"/>
        <v>9976956</v>
      </c>
      <c r="H52">
        <f t="shared" si="6"/>
        <v>9031676</v>
      </c>
      <c r="I52">
        <f t="shared" si="6"/>
        <v>9399629</v>
      </c>
      <c r="J52">
        <f t="shared" si="6"/>
        <v>8525380</v>
      </c>
      <c r="K52">
        <f t="shared" si="6"/>
        <v>8168349</v>
      </c>
      <c r="L52">
        <f t="shared" si="6"/>
        <v>7683157</v>
      </c>
      <c r="M52">
        <f t="shared" si="6"/>
        <v>8605636</v>
      </c>
      <c r="N52">
        <f>SUM(B52:M52)</f>
        <v>101813878</v>
      </c>
    </row>
    <row r="53" spans="1:14" x14ac:dyDescent="0.2">
      <c r="I53" s="3"/>
      <c r="L53" s="3"/>
      <c r="N53">
        <f>SUM(N38:N51)</f>
        <v>101813878</v>
      </c>
    </row>
    <row r="54" spans="1:14" x14ac:dyDescent="0.2">
      <c r="I54" s="3"/>
      <c r="L54" s="3"/>
    </row>
    <row r="55" spans="1:14" x14ac:dyDescent="0.2">
      <c r="L55" s="3"/>
    </row>
  </sheetData>
  <mergeCells count="3">
    <mergeCell ref="A1:N1"/>
    <mergeCell ref="A2:N2"/>
    <mergeCell ref="A3:N3"/>
  </mergeCells>
  <pageMargins left="0.5" right="0.5" top="0.25" bottom="0.28999999999999998" header="0.25" footer="0.16"/>
  <pageSetup scale="88" orientation="landscape" horizontalDpi="1200" verticalDpi="1200" r:id="rId1"/>
  <headerFooter alignWithMargins="0">
    <oddHeader>&amp;R&amp;"Comic Sans MS,Regular"&amp;8prepared by: Sheilah Bruno</oddHeader>
    <oddFooter>&amp;R&amp;8&amp;Z&amp;F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Stats 2015</vt:lpstr>
      <vt:lpstr>'Stats 2015'!Print_Area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Sheilah Bruno</dc:creator>
  <cp:lastModifiedBy>Sheilah Bruno</cp:lastModifiedBy>
  <dcterms:created xsi:type="dcterms:W3CDTF">2016-01-14T19:57:09Z</dcterms:created>
  <dcterms:modified xsi:type="dcterms:W3CDTF">2016-01-14T19:57:43Z</dcterms:modified>
</cp:coreProperties>
</file>