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tats 2010" sheetId="1" r:id="rId1"/>
  </sheets>
  <definedNames>
    <definedName name="_Order1" hidden="1">255</definedName>
    <definedName name="_Order2" hidden="1">255</definedName>
    <definedName name="_xlnm.Print_Area" localSheetId="0">'Stats 2010'!$A$1:$P$52</definedName>
    <definedName name="_xlnm.Print_Titles">$A$1:$A$1</definedName>
  </definedNames>
  <calcPr fullCalcOnLoad="1"/>
</workbook>
</file>

<file path=xl/comments1.xml><?xml version="1.0" encoding="utf-8"?>
<comments xmlns="http://schemas.openxmlformats.org/spreadsheetml/2006/main">
  <authors>
    <author>Don Tanner</author>
    <author>Erie Municipal Airport Authority</author>
    <author>Sheilah Bruno</author>
  </authors>
  <commentList>
    <comment ref="A20" authorId="0">
      <text>
        <r>
          <rPr>
            <b/>
            <sz val="8"/>
            <rFont val="Tahoma"/>
            <family val="0"/>
          </rPr>
          <t>Don Tanner:</t>
        </r>
        <r>
          <rPr>
            <sz val="8"/>
            <rFont val="Tahoma"/>
            <family val="0"/>
          </rPr>
          <t xml:space="preserve">
weight in pounds
"enplaned"</t>
        </r>
      </text>
    </comment>
    <comment ref="A24" authorId="0">
      <text>
        <r>
          <rPr>
            <sz val="8"/>
            <rFont val="Tahoma"/>
            <family val="0"/>
          </rPr>
          <t>weight in pounds
"deplaned"</t>
        </r>
      </text>
    </comment>
    <comment ref="A6" authorId="0">
      <text>
        <r>
          <rPr>
            <sz val="8"/>
            <rFont val="Tahoma"/>
            <family val="0"/>
          </rPr>
          <t>People count</t>
        </r>
      </text>
    </comment>
    <comment ref="A31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GA (27-31)</t>
        </r>
      </text>
    </comment>
    <comment ref="A33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Civil (37-41)</t>
        </r>
      </text>
    </comment>
    <comment ref="A30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AT (22-26)</t>
        </r>
      </text>
    </comment>
    <comment ref="A29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AC (17-21)</t>
        </r>
      </text>
    </comment>
    <comment ref="A34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Should match
Total Operations
from Airport Traffic Record.</t>
        </r>
      </text>
    </comment>
    <comment ref="A21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NW,USAir,Comair</t>
        </r>
      </text>
    </comment>
    <comment ref="A25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MtnAir Cargo (off) deplaned
+ Mesaba
+ Delta (Comair)</t>
        </r>
      </text>
    </comment>
    <comment ref="A47" authorId="1">
      <text>
        <r>
          <rPr>
            <sz val="8"/>
            <rFont val="Tahoma"/>
            <family val="0"/>
          </rPr>
          <t>B737=198,076# round trip flight
154,500# B727 flight
B737-700 133,001#
Airbus 320 162,040# round trip flight = 324,080#</t>
        </r>
      </text>
    </comment>
    <comment ref="A32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MI (32-36)  +
Military (42-46)</t>
        </r>
      </text>
    </comment>
    <comment ref="A28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This report comes from Patty at the FAA.</t>
        </r>
      </text>
    </comment>
    <comment ref="A48" authorId="1">
      <text>
        <r>
          <rPr>
            <b/>
            <sz val="8"/>
            <rFont val="Tahoma"/>
            <family val="0"/>
          </rPr>
          <t>MD-83&amp;87 = 139,500</t>
        </r>
      </text>
    </comment>
    <comment ref="D47" authorId="2">
      <text>
        <r>
          <rPr>
            <sz val="8"/>
            <rFont val="Tahoma"/>
            <family val="2"/>
          </rPr>
          <t>B737-700 35 pax
Mercyhurst Hockey Team</t>
        </r>
      </text>
    </comment>
    <comment ref="H48" authorId="2">
      <text>
        <r>
          <rPr>
            <sz val="8"/>
            <rFont val="Tahoma"/>
            <family val="0"/>
          </rPr>
          <t>MD83</t>
        </r>
      </text>
    </comment>
  </commentList>
</comments>
</file>

<file path=xl/sharedStrings.xml><?xml version="1.0" encoding="utf-8"?>
<sst xmlns="http://schemas.openxmlformats.org/spreadsheetml/2006/main" count="68" uniqueCount="59">
  <si>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</si>
  <si>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</si>
  <si>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</si>
  <si>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</si>
  <si>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</si>
  <si>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</si>
  <si>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</si>
  <si>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</si>
  <si>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</si>
  <si>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</si>
  <si>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</si>
  <si>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</si>
  <si>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</si>
  <si>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</si>
  <si>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</si>
  <si>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</si>
  <si>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</si>
  <si>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</si>
  <si>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</si>
  <si>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</si>
  <si>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</si>
  <si>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USAir (Piedmont/AirWis)</t>
  </si>
  <si>
    <t>Delta(Mesaba/Pinnacle)</t>
  </si>
  <si>
    <t>Charters(NoCoast/Alleg)</t>
  </si>
  <si>
    <t>CO (Commut)</t>
  </si>
  <si>
    <t>DEPLANEMENTS</t>
  </si>
  <si>
    <t>USAir/AirWis/Piedmont</t>
  </si>
  <si>
    <t>CO/Commut/Express</t>
  </si>
  <si>
    <t>CARGO ON (enplaned)</t>
  </si>
  <si>
    <t xml:space="preserve">Cargo  </t>
  </si>
  <si>
    <t>CARGO OFF (deplaned)</t>
  </si>
  <si>
    <t>OPERATIONS</t>
  </si>
  <si>
    <t>Carrier</t>
  </si>
  <si>
    <t>AC</t>
  </si>
  <si>
    <t>Comm/Taxi</t>
  </si>
  <si>
    <t>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</si>
  <si>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</si>
  <si>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</si>
  <si>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</si>
  <si>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</si>
  <si>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</si>
  <si>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</si>
  <si>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</si>
  <si>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</si>
  <si>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US Air</t>
  </si>
  <si>
    <t>CRJ-70/200, 100/200</t>
  </si>
  <si>
    <t>DH8-100,200,300</t>
  </si>
  <si>
    <t>Delta (Mesaba/Pinnacle)</t>
  </si>
  <si>
    <t>SFC / Saab B+</t>
  </si>
  <si>
    <t>CRJ</t>
  </si>
  <si>
    <t>Continental-Commut</t>
  </si>
  <si>
    <t>ERJ135/145</t>
  </si>
  <si>
    <t>DH8</t>
  </si>
  <si>
    <t>Charters</t>
  </si>
  <si>
    <t>No. Coast B-737-200/700</t>
  </si>
  <si>
    <t>Allegiant MD-83 / MD-87</t>
  </si>
  <si>
    <t>Cargo</t>
  </si>
  <si>
    <t>Mountain Air C208</t>
  </si>
  <si>
    <t>CSA Air C208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</si>
</sst>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"/>
    <numFmt numFmtId="167" formatCode="mm/dd/yy"/>
    <numFmt numFmtId="168" formatCode="&quot;$&quot;#,##0.000_);[Red]\(&quot;$&quot;#,##0.000\)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#,##0.0"/>
    <numFmt numFmtId="178" formatCode="&quot;$&quot;#,##0.0"/>
    <numFmt numFmtId="179" formatCode="&quot;$&quot;#,##0"/>
    <numFmt numFmtId="180" formatCode="0.000%"/>
    <numFmt numFmtId="181" formatCode="mmmm\-yy"/>
    <numFmt numFmtId="182" formatCode="d\-mmm\-yyyy"/>
    <numFmt numFmtId="183" formatCode="#,##0.00;\-#,##0.00"/>
    <numFmt numFmtId="184" formatCode="#,##0.0;\-#,##0.0"/>
    <numFmt numFmtId="185" formatCode="#,##0;\-#,##0"/>
    <numFmt numFmtId="186" formatCode="_(* #,##0.0_);_(* \(#,##0.0\);_(* &quot;-&quot;?_);_(@_)"/>
    <numFmt numFmtId="187" formatCode="_(* #,##0.000_);_(* \(#,##0.000\);_(* &quot;-&quot;???_);_(@_)"/>
    <numFmt numFmtId="188" formatCode="0_)"/>
    <numFmt numFmtId="189" formatCode="0.00_)"/>
    <numFmt numFmtId="190" formatCode="&quot;$&quot;#,##0.000_);\(&quot;$&quot;#,##0.000\)"/>
    <numFmt numFmtId="191" formatCode="0.0000%"/>
    <numFmt numFmtId="192" formatCode="#,##0.000_);\(#,##0.000\)"/>
    <numFmt numFmtId="193" formatCode="0.00_);\(0.00\)"/>
    <numFmt numFmtId="194" formatCode="0_);\(0\)"/>
    <numFmt numFmtId="195" formatCode="#,##0.00;[Red]\(#,##0.00\)"/>
    <numFmt numFmtId="196" formatCode="mmmm\ d\,\ 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0.0"/>
    <numFmt numFmtId="205" formatCode="0.000"/>
    <numFmt numFmtId="206" formatCode="0.00000"/>
    <numFmt numFmtId="207" formatCode="0.0000"/>
    <numFmt numFmtId="208" formatCode="&quot;$&quot;#,##0\ ;\(&quot;$&quot;#,##0\)"/>
    <numFmt numFmtId="209" formatCode="&quot;$&quot;#,##0\ ;[Red]\(&quot;$&quot;#,##0\)"/>
    <numFmt numFmtId="210" formatCode="&quot;$&quot;#,##0.00\ ;\(&quot;$&quot;#,##0.00\)"/>
    <numFmt numFmtId="211" formatCode="&quot;$&quot;#,##0.00\ ;[Red]\(&quot;$&quot;#,##0.00\)"/>
    <numFmt numFmtId="212" formatCode="m/d"/>
    <numFmt numFmtId="213" formatCode="_(* #,##0.000_);_(* \(#,##0.000\);_(* &quot;-&quot;??_);_(@_)"/>
    <numFmt numFmtId="214" formatCode="_(* #,##0.0000_);_(* \(#,##0.0000\);_(* &quot;-&quot;??_);_(@_)"/>
    <numFmt numFmtId="215" formatCode="_(* #,##0%_);_(* \(#,##0%\);_(* &quot;-&quot;??_);_(@_)"/>
    <numFmt numFmtId="216" formatCode="\-"/>
    <numFmt numFmtId="217" formatCode="#,##0.0_);\(#,##0.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0"/>
      <color indexed="2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96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5" fillId="2" borderId="0">
      <alignment horizontal="right"/>
      <protection/>
    </xf>
    <xf numFmtId="0" fontId="6" fillId="3" borderId="0">
      <alignment horizontal="center"/>
      <protection/>
    </xf>
    <xf numFmtId="0" fontId="7" fillId="4" borderId="0">
      <alignment/>
      <protection/>
    </xf>
    <xf numFmtId="0" fontId="8" fillId="2" borderId="0" applyBorder="0">
      <alignment horizontal="centerContinuous"/>
      <protection/>
    </xf>
    <xf numFmtId="0" fontId="9" fillId="4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74" fontId="0" fillId="0" borderId="0" xfId="32" applyNumberForma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174" fontId="0" fillId="0" borderId="2" xfId="32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0" xfId="0" applyFont="1" applyAlignment="1">
      <alignment/>
    </xf>
    <xf numFmtId="0" fontId="12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</cellXfs>
  <cellStyles count="2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OUTPUT AMOUNTS" xfId="27"/>
    <cellStyle name="OUTPUT COLUMN HEADINGS" xfId="28"/>
    <cellStyle name="OUTPUT LINE ITEMS" xfId="29"/>
    <cellStyle name="OUTPUT REPORT HEADING" xfId="30"/>
    <cellStyle name="OUTPUT REPORT TITLE" xfId="31"/>
    <cellStyle name="Percent" xfId="32"/>
    <cellStyle name="Tot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5" sqref="M25"/>
    </sheetView>
  </sheetViews>
  <sheetFormatPr defaultColWidth="9.140625" defaultRowHeight="12.75"/>
  <cols>
    <col min="1" max="1" width="20.421875" style="0" customWidth="1"/>
    <col min="6" max="6" width="9.140625" style="3" customWidth="1"/>
    <col min="14" max="14" width="10.00390625" style="0" bestFit="1" customWidth="1"/>
    <col min="15" max="15" width="7.28125" style="0" hidden="1" customWidth="1"/>
    <col min="16" max="16" width="9.00390625" style="0" customWidth="1"/>
  </cols>
  <sheetData>
    <row r="1" spans="1:14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6" ht="12.75" customHeight="1">
      <c r="A3" s="1">
        <v>2010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ht="12" customHeight="1">
      <c r="P4" s="2" t="s">
        <v>4</v>
      </c>
    </row>
    <row r="5" spans="1:16" s="4" customFormat="1" ht="12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9" ht="12" customHeight="1">
      <c r="A6" s="7" t="s">
        <v>20</v>
      </c>
      <c r="I6" s="3"/>
    </row>
    <row r="7" spans="1:16" ht="12" customHeight="1">
      <c r="A7" s="8" t="s">
        <v>21</v>
      </c>
      <c r="B7" s="9">
        <v>2541</v>
      </c>
      <c r="C7" s="10">
        <v>1906</v>
      </c>
      <c r="D7" s="9">
        <v>2718</v>
      </c>
      <c r="E7" s="9">
        <v>2661</v>
      </c>
      <c r="F7" s="10">
        <v>2779</v>
      </c>
      <c r="G7" s="9">
        <v>2626</v>
      </c>
      <c r="H7" s="9">
        <v>2791</v>
      </c>
      <c r="I7" s="10">
        <v>3100</v>
      </c>
      <c r="J7" s="10">
        <v>3189</v>
      </c>
      <c r="K7" s="9">
        <v>2854</v>
      </c>
      <c r="L7" s="10">
        <v>2582</v>
      </c>
      <c r="M7" s="9">
        <v>2570</v>
      </c>
      <c r="N7" s="9">
        <f>SUM(B7:M7)</f>
        <v>32317</v>
      </c>
      <c r="O7" s="11">
        <f>+N7/N$11</f>
        <v>0.25491015791383365</v>
      </c>
      <c r="P7" s="11">
        <f>+N7/(N$11-N$9)</f>
        <v>0.2570717194858088</v>
      </c>
    </row>
    <row r="8" spans="1:16" ht="12" customHeight="1">
      <c r="A8" t="s">
        <v>22</v>
      </c>
      <c r="B8" s="9">
        <v>4123</v>
      </c>
      <c r="C8" s="10">
        <v>3587</v>
      </c>
      <c r="D8" s="9">
        <v>5238</v>
      </c>
      <c r="E8" s="9">
        <v>5075</v>
      </c>
      <c r="F8" s="10">
        <v>5261</v>
      </c>
      <c r="G8" s="9">
        <v>5415</v>
      </c>
      <c r="H8" s="9">
        <v>6101</v>
      </c>
      <c r="I8" s="10">
        <v>5764</v>
      </c>
      <c r="J8" s="10">
        <v>4788</v>
      </c>
      <c r="K8" s="9">
        <v>4692</v>
      </c>
      <c r="L8" s="10">
        <v>4197</v>
      </c>
      <c r="M8" s="10">
        <v>3614</v>
      </c>
      <c r="N8" s="9">
        <f>SUM(B8:M8)</f>
        <v>57855</v>
      </c>
      <c r="O8" s="11">
        <f>+N8/N$11</f>
        <v>0.45634889334111595</v>
      </c>
      <c r="P8" s="11">
        <f>+N8/(N$11-N$9)</f>
        <v>0.46021859488354333</v>
      </c>
    </row>
    <row r="9" spans="1:16" ht="12" customHeight="1">
      <c r="A9" t="s">
        <v>23</v>
      </c>
      <c r="B9" s="9"/>
      <c r="C9" s="10">
        <v>39</v>
      </c>
      <c r="D9" s="9">
        <v>35</v>
      </c>
      <c r="E9" s="9">
        <v>87</v>
      </c>
      <c r="F9" s="10">
        <f>105+74</f>
        <v>179</v>
      </c>
      <c r="G9" s="9">
        <v>117</v>
      </c>
      <c r="H9" s="9">
        <v>101</v>
      </c>
      <c r="I9" s="10">
        <f>85+56</f>
        <v>141</v>
      </c>
      <c r="J9" s="12">
        <v>107</v>
      </c>
      <c r="K9" s="9">
        <f>82+67+60</f>
        <v>209</v>
      </c>
      <c r="L9" s="10"/>
      <c r="M9" s="13">
        <v>51</v>
      </c>
      <c r="N9" s="9">
        <f>SUM(B9:M9)</f>
        <v>1066</v>
      </c>
      <c r="O9" s="11">
        <f>+N9/N$11</f>
        <v>0.008408398933568916</v>
      </c>
      <c r="P9" s="11"/>
    </row>
    <row r="10" spans="1:16" ht="12" customHeight="1">
      <c r="A10" t="s">
        <v>24</v>
      </c>
      <c r="B10" s="14">
        <v>2431</v>
      </c>
      <c r="C10" s="15">
        <v>2725</v>
      </c>
      <c r="D10" s="14">
        <v>2927</v>
      </c>
      <c r="E10" s="14">
        <v>3082</v>
      </c>
      <c r="F10" s="15">
        <v>2929</v>
      </c>
      <c r="G10" s="14">
        <v>3280</v>
      </c>
      <c r="H10" s="15">
        <v>3609</v>
      </c>
      <c r="I10" s="15">
        <v>3534</v>
      </c>
      <c r="J10" s="15">
        <v>2766</v>
      </c>
      <c r="K10" s="14">
        <v>2926</v>
      </c>
      <c r="L10" s="15">
        <v>2605</v>
      </c>
      <c r="M10" s="14">
        <v>2726</v>
      </c>
      <c r="N10" s="14">
        <f>SUM(B10:M10)</f>
        <v>35540</v>
      </c>
      <c r="O10" s="16">
        <f>+N10/N$11</f>
        <v>0.2803325498114815</v>
      </c>
      <c r="P10" s="11">
        <f>+N10/(N$11-N$9)</f>
        <v>0.28270968563064786</v>
      </c>
    </row>
    <row r="11" spans="1:16" ht="12" customHeight="1">
      <c r="A11" t="s">
        <v>18</v>
      </c>
      <c r="B11" s="9">
        <f aca="true" t="shared" si="0" ref="B11:P11">SUM(B7:B10)</f>
        <v>9095</v>
      </c>
      <c r="C11" s="10">
        <f t="shared" si="0"/>
        <v>8257</v>
      </c>
      <c r="D11" s="9">
        <f t="shared" si="0"/>
        <v>10918</v>
      </c>
      <c r="E11" s="9">
        <f t="shared" si="0"/>
        <v>10905</v>
      </c>
      <c r="F11" s="10">
        <f t="shared" si="0"/>
        <v>11148</v>
      </c>
      <c r="G11" s="9">
        <f t="shared" si="0"/>
        <v>11438</v>
      </c>
      <c r="H11" s="9">
        <f t="shared" si="0"/>
        <v>12602</v>
      </c>
      <c r="I11" s="10">
        <f t="shared" si="0"/>
        <v>12539</v>
      </c>
      <c r="J11" s="10">
        <f t="shared" si="0"/>
        <v>10850</v>
      </c>
      <c r="K11" s="9">
        <f t="shared" si="0"/>
        <v>10681</v>
      </c>
      <c r="L11" s="10">
        <f t="shared" si="0"/>
        <v>9384</v>
      </c>
      <c r="M11" s="9">
        <f t="shared" si="0"/>
        <v>8961</v>
      </c>
      <c r="N11" s="9">
        <f t="shared" si="0"/>
        <v>126778</v>
      </c>
      <c r="O11" s="17">
        <f t="shared" si="0"/>
        <v>1</v>
      </c>
      <c r="P11" s="18">
        <f t="shared" si="0"/>
        <v>1</v>
      </c>
    </row>
    <row r="12" spans="1:16" ht="12" customHeight="1">
      <c r="A12" t="s">
        <v>5</v>
      </c>
      <c r="B12" s="9"/>
      <c r="C12" s="10"/>
      <c r="D12" s="9"/>
      <c r="E12" s="9"/>
      <c r="F12" s="10"/>
      <c r="G12" s="9"/>
      <c r="H12" s="9"/>
      <c r="I12" s="10"/>
      <c r="J12" s="10"/>
      <c r="K12" s="9"/>
      <c r="L12" s="10"/>
      <c r="M12" s="9"/>
      <c r="N12" s="9"/>
      <c r="O12" s="17"/>
      <c r="P12" s="17"/>
    </row>
    <row r="13" spans="1:16" ht="12" customHeight="1">
      <c r="A13" s="7" t="s">
        <v>25</v>
      </c>
      <c r="B13" s="9"/>
      <c r="C13" s="10"/>
      <c r="D13" s="9"/>
      <c r="E13" s="9"/>
      <c r="F13" s="10"/>
      <c r="G13" s="9"/>
      <c r="H13" s="9"/>
      <c r="I13" s="10"/>
      <c r="J13" s="10"/>
      <c r="K13" s="9"/>
      <c r="L13" s="10"/>
      <c r="M13" s="9"/>
      <c r="N13" s="9"/>
      <c r="O13" s="17"/>
      <c r="P13" s="17"/>
    </row>
    <row r="14" spans="1:16" ht="12" customHeight="1">
      <c r="A14" t="s">
        <v>26</v>
      </c>
      <c r="B14" s="9">
        <v>2226</v>
      </c>
      <c r="C14" s="10">
        <v>1849</v>
      </c>
      <c r="D14" s="9">
        <v>3059</v>
      </c>
      <c r="E14" s="9">
        <v>3034</v>
      </c>
      <c r="F14" s="10">
        <v>3005</v>
      </c>
      <c r="G14" s="9">
        <v>2800</v>
      </c>
      <c r="H14" s="9">
        <v>3038</v>
      </c>
      <c r="I14" s="10">
        <v>3309</v>
      </c>
      <c r="J14" s="10">
        <v>3086</v>
      </c>
      <c r="K14" s="9">
        <v>3011</v>
      </c>
      <c r="L14" s="10">
        <v>2714</v>
      </c>
      <c r="M14" s="9">
        <v>2402</v>
      </c>
      <c r="N14" s="9">
        <f>SUM(B14:M14)</f>
        <v>33533</v>
      </c>
      <c r="O14" s="11">
        <f>+N14/N$18</f>
        <v>0.27041869617109127</v>
      </c>
      <c r="P14" s="11">
        <f>+N14/(N$18-N$16)</f>
        <v>0.27276350680830985</v>
      </c>
    </row>
    <row r="15" spans="1:16" ht="12" customHeight="1">
      <c r="A15" t="str">
        <f>+A8</f>
        <v>Delta(Mesaba/Pinnacle)</v>
      </c>
      <c r="B15" s="9">
        <v>3803</v>
      </c>
      <c r="C15" s="10">
        <v>3690</v>
      </c>
      <c r="D15" s="9">
        <v>4771</v>
      </c>
      <c r="E15" s="9">
        <v>5045</v>
      </c>
      <c r="F15" s="10">
        <v>5304</v>
      </c>
      <c r="G15" s="9">
        <v>5414</v>
      </c>
      <c r="H15" s="9">
        <v>5826</v>
      </c>
      <c r="I15" s="10">
        <v>5758</v>
      </c>
      <c r="J15" s="10">
        <v>4564</v>
      </c>
      <c r="K15" s="9">
        <v>4600</v>
      </c>
      <c r="L15" s="10">
        <v>4205</v>
      </c>
      <c r="M15" s="9">
        <v>3599</v>
      </c>
      <c r="N15" s="9">
        <f>SUM(B15:M15)</f>
        <v>56579</v>
      </c>
      <c r="O15" s="11">
        <f>+N15/N$18</f>
        <v>0.456267539756782</v>
      </c>
      <c r="P15" s="11">
        <f>+N15/(N$18-N$16)</f>
        <v>0.46022385267370547</v>
      </c>
    </row>
    <row r="16" spans="1:16" ht="12" customHeight="1">
      <c r="A16" t="s">
        <v>23</v>
      </c>
      <c r="B16" s="9"/>
      <c r="C16" s="9">
        <v>39</v>
      </c>
      <c r="D16" s="9">
        <v>35</v>
      </c>
      <c r="E16" s="9">
        <v>87</v>
      </c>
      <c r="F16" s="10">
        <v>179</v>
      </c>
      <c r="G16" s="9">
        <v>117</v>
      </c>
      <c r="H16" s="9">
        <v>101</v>
      </c>
      <c r="I16" s="10">
        <f>85+56</f>
        <v>141</v>
      </c>
      <c r="J16" s="12">
        <v>107</v>
      </c>
      <c r="K16" s="9">
        <f>60+67+82</f>
        <v>209</v>
      </c>
      <c r="L16" s="10"/>
      <c r="M16" s="13">
        <v>51</v>
      </c>
      <c r="N16" s="9">
        <f>SUM(B16:M16)</f>
        <v>1066</v>
      </c>
      <c r="O16" s="11">
        <f>+N16/N$18</f>
        <v>0.008596496887197188</v>
      </c>
      <c r="P16" s="11"/>
    </row>
    <row r="17" spans="1:16" ht="12" customHeight="1">
      <c r="A17" t="s">
        <v>27</v>
      </c>
      <c r="B17" s="14">
        <v>2240</v>
      </c>
      <c r="C17" s="15">
        <v>2342</v>
      </c>
      <c r="D17" s="14">
        <v>2844</v>
      </c>
      <c r="E17" s="14">
        <v>2759</v>
      </c>
      <c r="F17" s="15">
        <v>2743</v>
      </c>
      <c r="G17" s="14">
        <v>2983</v>
      </c>
      <c r="H17" s="15">
        <v>3306</v>
      </c>
      <c r="I17" s="15">
        <v>3287</v>
      </c>
      <c r="J17" s="15">
        <v>2544</v>
      </c>
      <c r="K17" s="14">
        <v>2793</v>
      </c>
      <c r="L17" s="15">
        <v>2506</v>
      </c>
      <c r="M17" s="14">
        <v>2479</v>
      </c>
      <c r="N17" s="14">
        <f>SUM(B17:M17)</f>
        <v>32826</v>
      </c>
      <c r="O17" s="16">
        <f>+N17/N$18</f>
        <v>0.2647172671849295</v>
      </c>
      <c r="P17" s="11">
        <f>+N17/(N$18-N$16)</f>
        <v>0.2670126405179847</v>
      </c>
    </row>
    <row r="18" spans="1:16" ht="12" customHeight="1">
      <c r="A18" t="s">
        <v>18</v>
      </c>
      <c r="B18" s="9">
        <f aca="true" t="shared" si="1" ref="B18:M18">SUM(B14:B17)</f>
        <v>8269</v>
      </c>
      <c r="C18" s="10">
        <f t="shared" si="1"/>
        <v>7920</v>
      </c>
      <c r="D18" s="9">
        <f t="shared" si="1"/>
        <v>10709</v>
      </c>
      <c r="E18" s="9">
        <f t="shared" si="1"/>
        <v>10925</v>
      </c>
      <c r="F18" s="10">
        <f t="shared" si="1"/>
        <v>11231</v>
      </c>
      <c r="G18" s="9">
        <f t="shared" si="1"/>
        <v>11314</v>
      </c>
      <c r="H18" s="9">
        <f t="shared" si="1"/>
        <v>12271</v>
      </c>
      <c r="I18" s="10">
        <f t="shared" si="1"/>
        <v>12495</v>
      </c>
      <c r="J18" s="10">
        <f t="shared" si="1"/>
        <v>10301</v>
      </c>
      <c r="K18" s="9">
        <f t="shared" si="1"/>
        <v>10613</v>
      </c>
      <c r="L18" s="10">
        <f t="shared" si="1"/>
        <v>9425</v>
      </c>
      <c r="M18" s="9">
        <f t="shared" si="1"/>
        <v>8531</v>
      </c>
      <c r="N18" s="9">
        <f>SUM(B18:M18)</f>
        <v>124004</v>
      </c>
      <c r="O18" s="17">
        <f>SUM(O14:O17)</f>
        <v>1</v>
      </c>
      <c r="P18" s="17">
        <f>SUM(P14:P17)</f>
        <v>1</v>
      </c>
    </row>
    <row r="19" spans="1:14" ht="12" customHeight="1">
      <c r="A19" t="s">
        <v>5</v>
      </c>
      <c r="B19" s="9"/>
      <c r="C19" s="10"/>
      <c r="D19" s="9"/>
      <c r="E19" s="9"/>
      <c r="F19" s="10"/>
      <c r="G19" s="9"/>
      <c r="H19" s="9"/>
      <c r="I19" s="10"/>
      <c r="J19" s="10"/>
      <c r="K19" s="9"/>
      <c r="L19" s="10"/>
      <c r="M19" s="9"/>
      <c r="N19" s="9"/>
    </row>
    <row r="20" spans="1:14" ht="12" customHeight="1">
      <c r="A20" s="7" t="s">
        <v>28</v>
      </c>
      <c r="B20" s="9"/>
      <c r="C20" s="10"/>
      <c r="D20" s="9"/>
      <c r="E20" s="9"/>
      <c r="F20" s="10"/>
      <c r="G20" s="9"/>
      <c r="H20" s="9"/>
      <c r="I20" s="10"/>
      <c r="J20" s="10"/>
      <c r="K20" s="9"/>
      <c r="L20" s="10"/>
      <c r="M20" s="9"/>
      <c r="N20" s="9"/>
    </row>
    <row r="21" spans="1:14" ht="12" customHeight="1">
      <c r="A21" t="s">
        <v>29</v>
      </c>
      <c r="B21" s="14">
        <f>423+83</f>
        <v>506</v>
      </c>
      <c r="C21" s="15">
        <f>289+419</f>
        <v>708</v>
      </c>
      <c r="D21" s="14">
        <f>314+58</f>
        <v>372</v>
      </c>
      <c r="E21" s="14">
        <v>199</v>
      </c>
      <c r="F21" s="15">
        <v>285</v>
      </c>
      <c r="G21" s="14">
        <v>10</v>
      </c>
      <c r="H21" s="14">
        <f>17+978</f>
        <v>995</v>
      </c>
      <c r="I21" s="15">
        <v>121</v>
      </c>
      <c r="J21" s="15">
        <f>125+839</f>
        <v>964</v>
      </c>
      <c r="K21" s="14">
        <f>1+230</f>
        <v>231</v>
      </c>
      <c r="L21" s="15">
        <v>963</v>
      </c>
      <c r="M21" s="19">
        <f>86+457</f>
        <v>543</v>
      </c>
      <c r="N21" s="14">
        <f>SUM(B21:M21)</f>
        <v>5897</v>
      </c>
    </row>
    <row r="22" spans="1:14" ht="12" customHeight="1">
      <c r="A22" t="s">
        <v>18</v>
      </c>
      <c r="B22" s="9">
        <f aca="true" t="shared" si="2" ref="B22:M22">SUM(B21:B21)</f>
        <v>506</v>
      </c>
      <c r="C22" s="10">
        <f t="shared" si="2"/>
        <v>708</v>
      </c>
      <c r="D22" s="9">
        <f t="shared" si="2"/>
        <v>372</v>
      </c>
      <c r="E22" s="9">
        <f t="shared" si="2"/>
        <v>199</v>
      </c>
      <c r="F22" s="10">
        <f t="shared" si="2"/>
        <v>285</v>
      </c>
      <c r="G22" s="9">
        <f t="shared" si="2"/>
        <v>10</v>
      </c>
      <c r="H22" s="9">
        <f t="shared" si="2"/>
        <v>995</v>
      </c>
      <c r="I22" s="10">
        <f t="shared" si="2"/>
        <v>121</v>
      </c>
      <c r="J22" s="10">
        <f t="shared" si="2"/>
        <v>964</v>
      </c>
      <c r="K22" s="9">
        <f t="shared" si="2"/>
        <v>231</v>
      </c>
      <c r="L22" s="10">
        <f t="shared" si="2"/>
        <v>963</v>
      </c>
      <c r="M22" s="9">
        <f t="shared" si="2"/>
        <v>543</v>
      </c>
      <c r="N22" s="9">
        <f>SUM(B22:M22)</f>
        <v>5897</v>
      </c>
    </row>
    <row r="23" spans="2:14" ht="12" customHeight="1">
      <c r="B23" s="9"/>
      <c r="C23" s="10"/>
      <c r="D23" s="9"/>
      <c r="E23" s="9"/>
      <c r="F23" s="10"/>
      <c r="G23" s="9"/>
      <c r="H23" s="9"/>
      <c r="I23" s="10"/>
      <c r="J23" s="10"/>
      <c r="K23" s="9"/>
      <c r="L23" s="10"/>
      <c r="M23" s="9"/>
      <c r="N23" s="9"/>
    </row>
    <row r="24" spans="1:14" ht="12" customHeight="1">
      <c r="A24" s="7" t="s">
        <v>30</v>
      </c>
      <c r="B24" s="9"/>
      <c r="C24" s="10"/>
      <c r="D24" s="9"/>
      <c r="E24" s="9"/>
      <c r="F24" s="10"/>
      <c r="G24" s="9"/>
      <c r="H24" s="9"/>
      <c r="I24" s="10"/>
      <c r="J24" s="10"/>
      <c r="K24" s="9"/>
      <c r="L24" s="10"/>
      <c r="M24" s="9"/>
      <c r="N24" s="9"/>
    </row>
    <row r="25" spans="1:14" ht="12" customHeight="1">
      <c r="A25" t="s">
        <v>29</v>
      </c>
      <c r="B25" s="15">
        <f>27264+1298+638</f>
        <v>29200</v>
      </c>
      <c r="C25" s="15">
        <f>811+554+30167</f>
        <v>31532</v>
      </c>
      <c r="D25" s="15">
        <f>20619+1244+1183</f>
        <v>23046</v>
      </c>
      <c r="E25" s="14">
        <f>834+1081+16788</f>
        <v>18703</v>
      </c>
      <c r="F25" s="15">
        <f>1684+780+29777</f>
        <v>32241</v>
      </c>
      <c r="G25" s="14">
        <f>1235+22393</f>
        <v>23628</v>
      </c>
      <c r="H25" s="14">
        <f>31529+920</f>
        <v>32449</v>
      </c>
      <c r="I25" s="15">
        <f>558+1418+20408</f>
        <v>22384</v>
      </c>
      <c r="J25" s="15">
        <f>23829+2092+739</f>
        <v>26660</v>
      </c>
      <c r="K25" s="14">
        <f>716+1238+31635</f>
        <v>33589</v>
      </c>
      <c r="L25" s="15">
        <f>41534+780</f>
        <v>42314</v>
      </c>
      <c r="M25" s="15">
        <f>846+345+42504</f>
        <v>43695</v>
      </c>
      <c r="N25" s="14">
        <f>SUM(B25:M25)</f>
        <v>359441</v>
      </c>
    </row>
    <row r="26" spans="1:14" ht="12" customHeight="1">
      <c r="A26" t="s">
        <v>18</v>
      </c>
      <c r="B26" s="9">
        <f aca="true" t="shared" si="3" ref="B26:M26">SUM(B25:B25)</f>
        <v>29200</v>
      </c>
      <c r="C26" s="10">
        <f t="shared" si="3"/>
        <v>31532</v>
      </c>
      <c r="D26" s="9">
        <f t="shared" si="3"/>
        <v>23046</v>
      </c>
      <c r="E26" s="9">
        <f t="shared" si="3"/>
        <v>18703</v>
      </c>
      <c r="F26" s="10">
        <f t="shared" si="3"/>
        <v>32241</v>
      </c>
      <c r="G26" s="9">
        <f t="shared" si="3"/>
        <v>23628</v>
      </c>
      <c r="H26" s="9">
        <f t="shared" si="3"/>
        <v>32449</v>
      </c>
      <c r="I26" s="10">
        <f t="shared" si="3"/>
        <v>22384</v>
      </c>
      <c r="J26" s="10">
        <f t="shared" si="3"/>
        <v>26660</v>
      </c>
      <c r="K26" s="9">
        <f t="shared" si="3"/>
        <v>33589</v>
      </c>
      <c r="L26" s="10">
        <f t="shared" si="3"/>
        <v>42314</v>
      </c>
      <c r="M26" s="9">
        <f t="shared" si="3"/>
        <v>43695</v>
      </c>
      <c r="N26" s="9">
        <f>SUM(B26:M26)</f>
        <v>359441</v>
      </c>
    </row>
    <row r="27" spans="2:14" ht="12" customHeight="1">
      <c r="B27" s="9"/>
      <c r="C27" s="10"/>
      <c r="D27" s="9"/>
      <c r="E27" s="9"/>
      <c r="F27" s="10"/>
      <c r="G27" s="9"/>
      <c r="H27" s="9"/>
      <c r="I27" s="10"/>
      <c r="J27" s="10"/>
      <c r="K27" s="9"/>
      <c r="L27" s="10"/>
      <c r="M27" s="9"/>
      <c r="N27" s="9"/>
    </row>
    <row r="28" spans="1:14" ht="12" customHeight="1">
      <c r="A28" s="7" t="s">
        <v>31</v>
      </c>
      <c r="B28" s="9"/>
      <c r="C28" s="10"/>
      <c r="D28" s="9"/>
      <c r="E28" s="9"/>
      <c r="F28" s="10"/>
      <c r="G28" s="9"/>
      <c r="H28" s="9"/>
      <c r="I28" s="10"/>
      <c r="J28" s="10"/>
      <c r="K28" s="9"/>
      <c r="L28" s="10"/>
      <c r="M28" s="9"/>
      <c r="N28" s="9"/>
    </row>
    <row r="29" spans="1:16" ht="12" customHeight="1">
      <c r="A29" t="s">
        <v>32</v>
      </c>
      <c r="B29" s="9">
        <v>0</v>
      </c>
      <c r="C29" s="10">
        <v>4</v>
      </c>
      <c r="D29" s="9">
        <v>4</v>
      </c>
      <c r="E29" s="9">
        <v>4</v>
      </c>
      <c r="F29" s="10">
        <v>8</v>
      </c>
      <c r="G29" s="9">
        <v>4</v>
      </c>
      <c r="H29" s="9">
        <v>4</v>
      </c>
      <c r="I29" s="10">
        <v>8</v>
      </c>
      <c r="J29" s="10">
        <v>4</v>
      </c>
      <c r="K29" s="9">
        <v>10</v>
      </c>
      <c r="L29" s="10">
        <v>3</v>
      </c>
      <c r="M29" s="9">
        <v>5</v>
      </c>
      <c r="N29" s="9">
        <f aca="true" t="shared" si="4" ref="N29:N34">SUM(B29:M29)</f>
        <v>58</v>
      </c>
      <c r="P29" t="s">
        <v>33</v>
      </c>
    </row>
    <row r="30" spans="1:16" ht="12" customHeight="1">
      <c r="A30" t="s">
        <v>34</v>
      </c>
      <c r="B30" s="9">
        <v>700</v>
      </c>
      <c r="C30" s="10">
        <v>648</v>
      </c>
      <c r="D30" s="9">
        <v>778</v>
      </c>
      <c r="E30" s="9">
        <v>772</v>
      </c>
      <c r="F30" s="10">
        <v>769</v>
      </c>
      <c r="G30" s="9">
        <v>768</v>
      </c>
      <c r="H30" s="9">
        <v>807</v>
      </c>
      <c r="I30" s="10">
        <v>765</v>
      </c>
      <c r="J30" s="10">
        <v>681</v>
      </c>
      <c r="K30" s="9">
        <v>730</v>
      </c>
      <c r="L30" s="10">
        <v>706</v>
      </c>
      <c r="M30" s="9">
        <v>700</v>
      </c>
      <c r="N30" s="9">
        <f t="shared" si="4"/>
        <v>8824</v>
      </c>
      <c r="P30" t="s">
        <v>35</v>
      </c>
    </row>
    <row r="31" spans="1:16" ht="12" customHeight="1">
      <c r="A31" t="s">
        <v>36</v>
      </c>
      <c r="B31" s="9">
        <v>349</v>
      </c>
      <c r="C31" s="10">
        <v>322</v>
      </c>
      <c r="D31" s="9">
        <v>692</v>
      </c>
      <c r="E31" s="9">
        <v>792</v>
      </c>
      <c r="F31" s="10">
        <v>870</v>
      </c>
      <c r="G31" s="9">
        <v>952</v>
      </c>
      <c r="H31" s="9">
        <v>1158</v>
      </c>
      <c r="I31" s="10">
        <v>1146</v>
      </c>
      <c r="J31" s="10">
        <v>789</v>
      </c>
      <c r="K31" s="9">
        <v>842</v>
      </c>
      <c r="L31" s="10">
        <v>753</v>
      </c>
      <c r="M31" s="9">
        <v>317</v>
      </c>
      <c r="N31" s="9">
        <f t="shared" si="4"/>
        <v>8982</v>
      </c>
      <c r="P31" t="s">
        <v>37</v>
      </c>
    </row>
    <row r="32" spans="1:16" ht="12" customHeight="1">
      <c r="A32" t="s">
        <v>38</v>
      </c>
      <c r="B32" s="20">
        <f>18+8</f>
        <v>26</v>
      </c>
      <c r="C32" s="21">
        <v>4</v>
      </c>
      <c r="D32" s="20">
        <f>54+48</f>
        <v>102</v>
      </c>
      <c r="E32" s="20">
        <f>52+44</f>
        <v>96</v>
      </c>
      <c r="F32" s="21">
        <f>47+28</f>
        <v>75</v>
      </c>
      <c r="G32" s="20">
        <f>55+32</f>
        <v>87</v>
      </c>
      <c r="H32" s="20">
        <f>47+41</f>
        <v>88</v>
      </c>
      <c r="I32" s="21">
        <f>18+22</f>
        <v>40</v>
      </c>
      <c r="J32" s="21">
        <f>46+36</f>
        <v>82</v>
      </c>
      <c r="K32" s="20">
        <f>22+22</f>
        <v>44</v>
      </c>
      <c r="L32" s="21">
        <f>34+36</f>
        <v>70</v>
      </c>
      <c r="M32" s="20">
        <f>23+8</f>
        <v>31</v>
      </c>
      <c r="N32" s="20">
        <f t="shared" si="4"/>
        <v>745</v>
      </c>
      <c r="P32" t="s">
        <v>39</v>
      </c>
    </row>
    <row r="33" spans="1:16" ht="12" customHeight="1">
      <c r="A33" t="s">
        <v>40</v>
      </c>
      <c r="B33" s="9">
        <v>298</v>
      </c>
      <c r="C33" s="10">
        <v>252</v>
      </c>
      <c r="D33" s="9">
        <v>664</v>
      </c>
      <c r="E33" s="9">
        <v>1004</v>
      </c>
      <c r="F33" s="10">
        <v>1461</v>
      </c>
      <c r="G33" s="9">
        <v>1111</v>
      </c>
      <c r="H33" s="9">
        <v>1354</v>
      </c>
      <c r="I33" s="10">
        <v>1719</v>
      </c>
      <c r="J33" s="10">
        <v>1555</v>
      </c>
      <c r="K33" s="9">
        <v>956</v>
      </c>
      <c r="L33" s="10">
        <v>646</v>
      </c>
      <c r="M33" s="9">
        <v>192</v>
      </c>
      <c r="N33" s="9">
        <f t="shared" si="4"/>
        <v>11212</v>
      </c>
      <c r="P33" t="s">
        <v>41</v>
      </c>
    </row>
    <row r="34" spans="1:14" ht="12" customHeight="1">
      <c r="A34" t="s">
        <v>42</v>
      </c>
      <c r="B34" s="22">
        <f aca="true" t="shared" si="5" ref="B34:M34">SUM(B29:B33)</f>
        <v>1373</v>
      </c>
      <c r="C34" s="23">
        <f t="shared" si="5"/>
        <v>1230</v>
      </c>
      <c r="D34" s="22">
        <f t="shared" si="5"/>
        <v>2240</v>
      </c>
      <c r="E34" s="22">
        <f t="shared" si="5"/>
        <v>2668</v>
      </c>
      <c r="F34" s="23">
        <f t="shared" si="5"/>
        <v>3183</v>
      </c>
      <c r="G34" s="22">
        <f t="shared" si="5"/>
        <v>2922</v>
      </c>
      <c r="H34" s="22">
        <f t="shared" si="5"/>
        <v>3411</v>
      </c>
      <c r="I34" s="23">
        <f t="shared" si="5"/>
        <v>3678</v>
      </c>
      <c r="J34" s="23">
        <f t="shared" si="5"/>
        <v>3111</v>
      </c>
      <c r="K34" s="22">
        <f t="shared" si="5"/>
        <v>2582</v>
      </c>
      <c r="L34" s="23">
        <f t="shared" si="5"/>
        <v>2178</v>
      </c>
      <c r="M34" s="22">
        <f t="shared" si="5"/>
        <v>1245</v>
      </c>
      <c r="N34" s="22">
        <f t="shared" si="4"/>
        <v>29821</v>
      </c>
    </row>
    <row r="35" spans="3:12" ht="12" customHeight="1">
      <c r="C35" s="3"/>
      <c r="I35" s="3"/>
      <c r="J35" s="3"/>
      <c r="L35" s="3"/>
    </row>
    <row r="36" spans="1:12" ht="12" customHeight="1">
      <c r="A36" s="7" t="s">
        <v>43</v>
      </c>
      <c r="C36" s="3"/>
      <c r="I36" s="3"/>
      <c r="J36" s="3"/>
      <c r="L36" s="3"/>
    </row>
    <row r="37" spans="1:14" ht="12" customHeight="1">
      <c r="A37" s="7" t="s">
        <v>44</v>
      </c>
      <c r="B37" s="24"/>
      <c r="C37" s="3"/>
      <c r="I37" s="3"/>
      <c r="J37" s="3"/>
      <c r="L37" s="3"/>
      <c r="N37" s="25"/>
    </row>
    <row r="38" spans="1:14" ht="12" customHeight="1">
      <c r="A38" s="26" t="s">
        <v>45</v>
      </c>
      <c r="C38" s="3"/>
      <c r="G38" s="3"/>
      <c r="H38" s="3"/>
      <c r="I38" s="3"/>
      <c r="J38" s="3"/>
      <c r="K38" s="3"/>
      <c r="L38" s="3"/>
      <c r="M38" s="3"/>
      <c r="N38">
        <f>SUM(B38:M38)</f>
        <v>0</v>
      </c>
    </row>
    <row r="39" spans="1:14" ht="12" customHeight="1">
      <c r="A39" s="26" t="s">
        <v>46</v>
      </c>
      <c r="B39">
        <v>3363900</v>
      </c>
      <c r="C39" s="3">
        <v>2616900</v>
      </c>
      <c r="D39">
        <v>3453300</v>
      </c>
      <c r="E39">
        <v>2892300</v>
      </c>
      <c r="F39" s="3">
        <v>3428700</v>
      </c>
      <c r="G39" s="3">
        <v>3504600</v>
      </c>
      <c r="H39" s="3">
        <v>3516900</v>
      </c>
      <c r="I39" s="3">
        <f>3041400+508500</f>
        <v>3549900</v>
      </c>
      <c r="J39" s="3">
        <f>2959200+440700</f>
        <v>3399900</v>
      </c>
      <c r="K39" s="3">
        <v>3177600</v>
      </c>
      <c r="L39" s="3">
        <v>3044100</v>
      </c>
      <c r="M39" s="3">
        <v>3166200</v>
      </c>
      <c r="N39">
        <f>SUM(B39:M39)</f>
        <v>39114300</v>
      </c>
    </row>
    <row r="40" spans="1:14" ht="12" customHeight="1">
      <c r="A40" s="7" t="s">
        <v>47</v>
      </c>
      <c r="B40" s="24"/>
      <c r="C40" s="3"/>
      <c r="I40" s="3"/>
      <c r="L40" s="3"/>
      <c r="N40" s="25"/>
    </row>
    <row r="41" spans="1:14" ht="12" customHeight="1">
      <c r="A41" s="26" t="s">
        <v>48</v>
      </c>
      <c r="B41">
        <v>313500</v>
      </c>
      <c r="C41" s="3">
        <v>85500</v>
      </c>
      <c r="E41">
        <v>655500</v>
      </c>
      <c r="F41" s="3">
        <v>798000</v>
      </c>
      <c r="G41" s="3">
        <v>798000</v>
      </c>
      <c r="H41" s="3">
        <v>684000</v>
      </c>
      <c r="I41" s="3">
        <v>769500</v>
      </c>
      <c r="J41" s="3">
        <v>826500</v>
      </c>
      <c r="K41" s="3">
        <v>912000</v>
      </c>
      <c r="L41" s="3">
        <v>855000</v>
      </c>
      <c r="M41" s="3">
        <v>855000</v>
      </c>
      <c r="N41">
        <f>SUM(B41:M41)</f>
        <v>7552500</v>
      </c>
    </row>
    <row r="42" spans="1:14" ht="12" customHeight="1">
      <c r="A42" s="26" t="s">
        <v>49</v>
      </c>
      <c r="B42">
        <v>4324000</v>
      </c>
      <c r="C42" s="3">
        <f>4418000+47000</f>
        <v>4465000</v>
      </c>
      <c r="D42">
        <v>5405000</v>
      </c>
      <c r="E42">
        <v>5123000</v>
      </c>
      <c r="F42" s="3">
        <v>5029000</v>
      </c>
      <c r="G42" s="3">
        <f>5264000+47000</f>
        <v>5311000</v>
      </c>
      <c r="H42" s="3">
        <v>5687000</v>
      </c>
      <c r="I42" s="3">
        <v>5593000</v>
      </c>
      <c r="J42" s="3">
        <f>4183000+47000</f>
        <v>4230000</v>
      </c>
      <c r="K42" s="3">
        <f>3995000+47000</f>
        <v>4042000</v>
      </c>
      <c r="L42" s="3">
        <v>3713000</v>
      </c>
      <c r="M42" s="3">
        <v>3384000</v>
      </c>
      <c r="N42">
        <f>SUM(B42:M42)</f>
        <v>56306000</v>
      </c>
    </row>
    <row r="43" spans="1:14" ht="12" customHeight="1">
      <c r="A43" s="27" t="s">
        <v>50</v>
      </c>
      <c r="B43" s="24"/>
      <c r="C43" s="3"/>
      <c r="I43" s="3"/>
      <c r="L43" s="3"/>
      <c r="N43" s="25"/>
    </row>
    <row r="44" spans="1:14" ht="12" customHeight="1">
      <c r="A44" s="26" t="s">
        <v>51</v>
      </c>
      <c r="C44" s="3"/>
      <c r="I44" s="3"/>
      <c r="L44" s="3"/>
      <c r="M44" s="3"/>
      <c r="N44">
        <f>SUM(B44:M44)</f>
        <v>0</v>
      </c>
    </row>
    <row r="45" spans="1:14" ht="12" customHeight="1">
      <c r="A45" s="26" t="s">
        <v>52</v>
      </c>
      <c r="B45">
        <v>3243000</v>
      </c>
      <c r="C45" s="3">
        <v>3139500</v>
      </c>
      <c r="D45">
        <v>3381000</v>
      </c>
      <c r="E45">
        <v>3450000</v>
      </c>
      <c r="F45" s="3">
        <v>3381000</v>
      </c>
      <c r="G45" s="3">
        <v>3657000</v>
      </c>
      <c r="H45" s="3">
        <v>3726000</v>
      </c>
      <c r="I45" s="3">
        <v>3657000</v>
      </c>
      <c r="J45" s="3">
        <v>3381000</v>
      </c>
      <c r="K45" s="3">
        <v>3450000</v>
      </c>
      <c r="L45" s="3">
        <v>3381000</v>
      </c>
      <c r="M45" s="3">
        <v>3346500</v>
      </c>
      <c r="N45">
        <f>SUM(B45:M45)</f>
        <v>41193000</v>
      </c>
    </row>
    <row r="46" spans="1:14" ht="12" customHeight="1">
      <c r="A46" s="7" t="s">
        <v>53</v>
      </c>
      <c r="C46" s="3"/>
      <c r="I46" s="3"/>
      <c r="L46" s="3"/>
      <c r="N46" s="25"/>
    </row>
    <row r="47" spans="1:14" ht="12" customHeight="1">
      <c r="A47" s="28" t="s">
        <v>54</v>
      </c>
      <c r="C47" s="3"/>
      <c r="D47">
        <v>133001</v>
      </c>
      <c r="E47">
        <v>198076</v>
      </c>
      <c r="F47" s="3">
        <f>198076*2</f>
        <v>396152</v>
      </c>
      <c r="G47" s="3"/>
      <c r="H47" s="3"/>
      <c r="I47" s="3">
        <v>198076</v>
      </c>
      <c r="J47" s="29">
        <v>198076</v>
      </c>
      <c r="K47" s="29">
        <f>198076+198076+324080</f>
        <v>720232</v>
      </c>
      <c r="L47" s="29"/>
      <c r="M47" s="29">
        <v>198076</v>
      </c>
      <c r="N47">
        <f>SUM(B47:M47)</f>
        <v>2041689</v>
      </c>
    </row>
    <row r="48" spans="1:14" ht="12" customHeight="1">
      <c r="A48" s="28" t="s">
        <v>55</v>
      </c>
      <c r="C48" s="3">
        <v>139500</v>
      </c>
      <c r="G48" s="3">
        <v>139500</v>
      </c>
      <c r="H48" s="3">
        <v>139500</v>
      </c>
      <c r="I48" s="3">
        <v>139500</v>
      </c>
      <c r="J48" s="29"/>
      <c r="K48" s="29"/>
      <c r="L48" s="29"/>
      <c r="M48" s="26"/>
      <c r="N48">
        <f>SUM(B48:M48)</f>
        <v>558000</v>
      </c>
    </row>
    <row r="49" spans="1:14" ht="12" customHeight="1">
      <c r="A49" s="7" t="s">
        <v>56</v>
      </c>
      <c r="C49" s="3"/>
      <c r="I49" s="3"/>
      <c r="L49" s="3"/>
      <c r="N49" s="25"/>
    </row>
    <row r="50" spans="1:14" ht="12" customHeight="1">
      <c r="A50" t="s">
        <v>57</v>
      </c>
      <c r="B50" s="30">
        <v>212500</v>
      </c>
      <c r="C50" s="30">
        <v>212500</v>
      </c>
      <c r="D50" s="31">
        <v>204000</v>
      </c>
      <c r="E50" s="30">
        <v>187000</v>
      </c>
      <c r="F50" s="30">
        <v>229500</v>
      </c>
      <c r="G50" s="30">
        <v>204000</v>
      </c>
      <c r="H50" s="30">
        <v>212500</v>
      </c>
      <c r="I50" s="30">
        <v>187000</v>
      </c>
      <c r="J50" s="30">
        <v>212500</v>
      </c>
      <c r="K50" s="30">
        <v>221000</v>
      </c>
      <c r="L50" s="30">
        <v>246500</v>
      </c>
      <c r="M50" s="30">
        <v>297500</v>
      </c>
      <c r="N50" s="31">
        <f>SUM(B50:M50)</f>
        <v>2626500</v>
      </c>
    </row>
    <row r="51" spans="1:14" ht="12" customHeight="1">
      <c r="A51" t="s">
        <v>58</v>
      </c>
      <c r="B51" s="32"/>
      <c r="C51" s="32"/>
      <c r="D51" s="19"/>
      <c r="E51" s="19"/>
      <c r="F51" s="32"/>
      <c r="G51" s="19"/>
      <c r="H51" s="19"/>
      <c r="I51" s="32"/>
      <c r="J51" s="19"/>
      <c r="K51" s="19"/>
      <c r="L51" s="32"/>
      <c r="M51" s="19"/>
      <c r="N51" s="19">
        <f>SUM(B51:M51)</f>
        <v>0</v>
      </c>
    </row>
    <row r="52" spans="1:14" ht="12" customHeight="1">
      <c r="A52" t="s">
        <v>18</v>
      </c>
      <c r="B52">
        <f aca="true" t="shared" si="6" ref="B52:M52">SUM(B38:B51)</f>
        <v>11456900</v>
      </c>
      <c r="C52">
        <f t="shared" si="6"/>
        <v>10658900</v>
      </c>
      <c r="D52">
        <f t="shared" si="6"/>
        <v>12576301</v>
      </c>
      <c r="E52">
        <f t="shared" si="6"/>
        <v>12505876</v>
      </c>
      <c r="F52" s="3">
        <f t="shared" si="6"/>
        <v>13262352</v>
      </c>
      <c r="G52">
        <f t="shared" si="6"/>
        <v>13614100</v>
      </c>
      <c r="H52">
        <f t="shared" si="6"/>
        <v>13965900</v>
      </c>
      <c r="I52" s="3">
        <f t="shared" si="6"/>
        <v>14093976</v>
      </c>
      <c r="J52">
        <f t="shared" si="6"/>
        <v>12247976</v>
      </c>
      <c r="K52">
        <f t="shared" si="6"/>
        <v>12522832</v>
      </c>
      <c r="L52" s="3">
        <f t="shared" si="6"/>
        <v>11239600</v>
      </c>
      <c r="M52">
        <f t="shared" si="6"/>
        <v>11247276</v>
      </c>
      <c r="N52">
        <f>SUM(B52:M52)</f>
        <v>149391989</v>
      </c>
    </row>
    <row r="53" spans="9:14" ht="12.75">
      <c r="I53" s="3"/>
      <c r="L53" s="3"/>
      <c r="N53">
        <f>SUM(N38:N51)</f>
        <v>149391989</v>
      </c>
    </row>
    <row r="54" spans="9:12" ht="12.75">
      <c r="I54" s="3"/>
      <c r="L54" s="3"/>
    </row>
    <row r="55" ht="12.75">
      <c r="L55" s="3"/>
    </row>
  </sheetData>
  <mergeCells count="3">
    <mergeCell ref="A1:N1"/>
    <mergeCell ref="A2:N2"/>
    <mergeCell ref="A3:N3"/>
  </mergeCells>
  <printOptions/>
  <pageMargins left="0.5" right="0.5" top="0.25" bottom="0.29" header="0.25" footer="0.16"/>
  <pageSetup fitToHeight="1" fitToWidth="1" horizontalDpi="1200" verticalDpi="1200" orientation="landscape" scale="86" r:id="rId3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Regional Airport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Sheilah Bruno</dc:creator>
  <cp:keywords/>
  <dc:description/>
  <cp:lastModifiedBy>Sheilah Bruno</cp:lastModifiedBy>
  <dcterms:created xsi:type="dcterms:W3CDTF">2011-01-12T13:25:45Z</dcterms:created>
  <dcterms:modified xsi:type="dcterms:W3CDTF">2011-01-12T13:26:16Z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