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 Documents\ERAA\Financial Statements\2019\"/>
    </mc:Choice>
  </mc:AlternateContent>
  <bookViews>
    <workbookView xWindow="0" yWindow="0" windowWidth="28800" windowHeight="12450"/>
  </bookViews>
  <sheets>
    <sheet name="Stats 19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xlnm.Print_Area" localSheetId="0">'Stats 19'!$A$1:$P$43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H43" i="1"/>
  <c r="F43" i="1"/>
  <c r="E43" i="1"/>
  <c r="D43" i="1"/>
  <c r="C43" i="1"/>
  <c r="B43" i="1"/>
  <c r="N42" i="1"/>
  <c r="N40" i="1"/>
  <c r="M40" i="1"/>
  <c r="M43" i="1" s="1"/>
  <c r="L40" i="1"/>
  <c r="K40" i="1"/>
  <c r="I40" i="1"/>
  <c r="I43" i="1" s="1"/>
  <c r="G40" i="1"/>
  <c r="G43" i="1" s="1"/>
  <c r="N38" i="1"/>
  <c r="N36" i="1"/>
  <c r="N44" i="1" s="1"/>
  <c r="F32" i="1"/>
  <c r="C32" i="1"/>
  <c r="B32" i="1"/>
  <c r="L31" i="1"/>
  <c r="K31" i="1"/>
  <c r="J31" i="1"/>
  <c r="I31" i="1"/>
  <c r="H31" i="1"/>
  <c r="G31" i="1"/>
  <c r="F31" i="1"/>
  <c r="E31" i="1"/>
  <c r="N31" i="1" s="1"/>
  <c r="K30" i="1"/>
  <c r="J30" i="1"/>
  <c r="I30" i="1"/>
  <c r="H30" i="1"/>
  <c r="G30" i="1"/>
  <c r="F30" i="1"/>
  <c r="E30" i="1"/>
  <c r="D30" i="1"/>
  <c r="N30" i="1" s="1"/>
  <c r="L29" i="1"/>
  <c r="K29" i="1"/>
  <c r="J29" i="1"/>
  <c r="I29" i="1"/>
  <c r="H29" i="1"/>
  <c r="G29" i="1"/>
  <c r="F29" i="1"/>
  <c r="E29" i="1"/>
  <c r="N29" i="1" s="1"/>
  <c r="N28" i="1"/>
  <c r="M28" i="1"/>
  <c r="M32" i="1" s="1"/>
  <c r="L28" i="1"/>
  <c r="L32" i="1" s="1"/>
  <c r="K28" i="1"/>
  <c r="K32" i="1" s="1"/>
  <c r="J28" i="1"/>
  <c r="J32" i="1" s="1"/>
  <c r="I28" i="1"/>
  <c r="I32" i="1" s="1"/>
  <c r="H28" i="1"/>
  <c r="H32" i="1" s="1"/>
  <c r="G28" i="1"/>
  <c r="G32" i="1" s="1"/>
  <c r="F28" i="1"/>
  <c r="E28" i="1"/>
  <c r="E32" i="1" s="1"/>
  <c r="D28" i="1"/>
  <c r="D32" i="1" s="1"/>
  <c r="N32" i="1" s="1"/>
  <c r="M25" i="1"/>
  <c r="K25" i="1"/>
  <c r="I25" i="1"/>
  <c r="G25" i="1"/>
  <c r="E25" i="1"/>
  <c r="C25" i="1"/>
  <c r="N24" i="1"/>
  <c r="M24" i="1"/>
  <c r="L24" i="1"/>
  <c r="L25" i="1" s="1"/>
  <c r="K24" i="1"/>
  <c r="J24" i="1"/>
  <c r="J25" i="1" s="1"/>
  <c r="I24" i="1"/>
  <c r="H24" i="1"/>
  <c r="H25" i="1" s="1"/>
  <c r="G24" i="1"/>
  <c r="F24" i="1"/>
  <c r="F25" i="1" s="1"/>
  <c r="E24" i="1"/>
  <c r="D24" i="1"/>
  <c r="D25" i="1" s="1"/>
  <c r="C24" i="1"/>
  <c r="B24" i="1"/>
  <c r="B25" i="1" s="1"/>
  <c r="M21" i="1"/>
  <c r="L21" i="1"/>
  <c r="K21" i="1"/>
  <c r="I21" i="1"/>
  <c r="H21" i="1"/>
  <c r="G21" i="1"/>
  <c r="D21" i="1"/>
  <c r="C21" i="1"/>
  <c r="B21" i="1"/>
  <c r="L20" i="1"/>
  <c r="K20" i="1"/>
  <c r="J20" i="1"/>
  <c r="J21" i="1" s="1"/>
  <c r="G20" i="1"/>
  <c r="F20" i="1"/>
  <c r="F21" i="1" s="1"/>
  <c r="E20" i="1"/>
  <c r="N20" i="1" s="1"/>
  <c r="L17" i="1"/>
  <c r="J17" i="1"/>
  <c r="H17" i="1"/>
  <c r="F17" i="1"/>
  <c r="D17" i="1"/>
  <c r="C17" i="1"/>
  <c r="B17" i="1"/>
  <c r="Q16" i="1"/>
  <c r="M16" i="1"/>
  <c r="M17" i="1" s="1"/>
  <c r="L16" i="1"/>
  <c r="K16" i="1"/>
  <c r="K17" i="1" s="1"/>
  <c r="I16" i="1"/>
  <c r="I17" i="1" s="1"/>
  <c r="G16" i="1"/>
  <c r="G17" i="1" s="1"/>
  <c r="E16" i="1"/>
  <c r="N16" i="1" s="1"/>
  <c r="Q15" i="1"/>
  <c r="N15" i="1"/>
  <c r="A15" i="1"/>
  <c r="Q14" i="1"/>
  <c r="Q17" i="1" s="1"/>
  <c r="N14" i="1"/>
  <c r="Q11" i="1"/>
  <c r="M11" i="1"/>
  <c r="K11" i="1"/>
  <c r="J11" i="1"/>
  <c r="H11" i="1"/>
  <c r="G11" i="1"/>
  <c r="F11" i="1"/>
  <c r="E11" i="1"/>
  <c r="D11" i="1"/>
  <c r="C11" i="1"/>
  <c r="B11" i="1"/>
  <c r="Q10" i="1"/>
  <c r="M10" i="1"/>
  <c r="L10" i="1"/>
  <c r="L11" i="1" s="1"/>
  <c r="K10" i="1"/>
  <c r="I10" i="1"/>
  <c r="N10" i="1" s="1"/>
  <c r="G10" i="1"/>
  <c r="E10" i="1"/>
  <c r="Q9" i="1"/>
  <c r="N9" i="1"/>
  <c r="R9" i="1" s="1"/>
  <c r="R8" i="1"/>
  <c r="Q8" i="1"/>
  <c r="N8" i="1"/>
  <c r="N43" i="1" l="1"/>
  <c r="O10" i="1"/>
  <c r="R10" i="1"/>
  <c r="P8" i="1"/>
  <c r="N25" i="1"/>
  <c r="E17" i="1"/>
  <c r="N17" i="1" s="1"/>
  <c r="I11" i="1"/>
  <c r="E21" i="1"/>
  <c r="N21" i="1" s="1"/>
  <c r="N11" i="1"/>
  <c r="R17" i="1" l="1"/>
  <c r="S17" i="1" s="1"/>
  <c r="O14" i="1"/>
  <c r="P16" i="1"/>
  <c r="P15" i="1"/>
  <c r="O15" i="1"/>
  <c r="P14" i="1"/>
  <c r="P17" i="1" s="1"/>
  <c r="O16" i="1"/>
  <c r="P11" i="1"/>
  <c r="O9" i="1"/>
  <c r="R11" i="1"/>
  <c r="S11" i="1" s="1"/>
  <c r="P10" i="1"/>
  <c r="O8" i="1"/>
  <c r="P9" i="1"/>
  <c r="O11" i="1" l="1"/>
  <c r="O17" i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7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</commentList>
</comments>
</file>

<file path=xl/sharedStrings.xml><?xml version="1.0" encoding="utf-8"?>
<sst xmlns="http://schemas.openxmlformats.org/spreadsheetml/2006/main" count="57" uniqueCount="45">
  <si>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</si>
  <si>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</si>
  <si>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</si>
  <si>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</si>
  <si>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</si>
  <si>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</si>
  <si>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</si>
  <si>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</si>
  <si>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</si>
  <si>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</si>
  <si>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</si>
  <si>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</si>
  <si>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</si>
  <si>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</si>
  <si>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</si>
  <si>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</si>
  <si>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</si>
  <si>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</si>
  <si>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</si>
  <si>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</si>
  <si>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</si>
  <si>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</si>
  <si>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SkyWest/Delta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</si>
  <si>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</si>
  <si>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</si>
  <si>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</si>
  <si>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</si>
  <si>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</si>
  <si>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</si>
  <si>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</si>
  <si>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</si>
  <si>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</si>
  <si>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</si>
  <si>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</si>
  <si>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</si>
  <si>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</si>
  <si>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</si>
  <si>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</si>
  <si>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</si>
  <si>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</si>
  <si>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SkyWest</t>
  </si>
  <si>
    <t>CRJ &amp;/or ERJ</t>
  </si>
  <si>
    <t>CRJ 100/200</t>
  </si>
  <si>
    <t>Cargo</t>
  </si>
  <si>
    <t>Mountain Air 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</si>
</sst>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2" applyNumberFormat="1"/>
    <xf numFmtId="165" fontId="0" fillId="0" borderId="0" xfId="1" applyNumberFormat="1" applyFont="1"/>
    <xf numFmtId="10" fontId="0" fillId="0" borderId="0" xfId="2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2" applyNumberFormat="1" applyBorder="1"/>
    <xf numFmtId="164" fontId="0" fillId="0" borderId="0" xfId="0" applyNumberFormat="1"/>
    <xf numFmtId="164" fontId="0" fillId="0" borderId="2" xfId="0" applyNumberFormat="1" applyBorder="1"/>
    <xf numFmtId="165" fontId="0" fillId="0" borderId="2" xfId="1" applyNumberFormat="1" applyFont="1" applyBorder="1"/>
    <xf numFmtId="165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165" fontId="0" fillId="0" borderId="0" xfId="1" applyNumberFormat="1" applyFont="1" applyFill="1"/>
    <xf numFmtId="165" fontId="1" fillId="2" borderId="0" xfId="1" applyNumberFormat="1" applyFont="1" applyFill="1"/>
    <xf numFmtId="165" fontId="4" fillId="2" borderId="0" xfId="1" applyNumberFormat="1" applyFont="1" applyFill="1"/>
    <xf numFmtId="0" fontId="3" fillId="2" borderId="0" xfId="0" quotePrefix="1" applyFont="1" applyFill="1" applyAlignment="1">
      <alignment horizontal="left"/>
    </xf>
    <xf numFmtId="165" fontId="0" fillId="0" borderId="1" xfId="1" applyNumberFormat="1" applyFont="1" applyFill="1" applyBorder="1"/>
    <xf numFmtId="165" fontId="0" fillId="0" borderId="1" xfId="1" applyNumberFormat="1" applyFont="1" applyBorder="1"/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RAA/Financial%20Statements/Air%20Traffic%20Statistic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19"/>
      <sheetName val="Fuel Flowage"/>
      <sheetName val="Load Factor"/>
      <sheetName val="Landings 14-19"/>
      <sheetName val="Stats 18"/>
      <sheetName val="Stats 17"/>
      <sheetName val="Stats 16"/>
      <sheetName val="Stats 15"/>
      <sheetName val="Stats 14"/>
      <sheetName val="Stats 07-18"/>
      <sheetName val="Stats 2015 Budg thru Aug"/>
      <sheetName val="Stats 13"/>
      <sheetName val="2014 Budg w Sep"/>
      <sheetName val="2014 Budg wo Sep"/>
      <sheetName val="2013 Budget"/>
      <sheetName val="2012 Budget"/>
      <sheetName val="Stats 12"/>
      <sheetName val="Stats 11"/>
      <sheetName val="Stats 10"/>
      <sheetName val="Stats 09"/>
      <sheetName val="Stats 08"/>
      <sheetName val="Stats 07"/>
      <sheetName val="Historical EPAX S&amp;P"/>
      <sheetName val="Airlin EPAX Mrkt Shar S&amp;P 05-07"/>
      <sheetName val="Airlin EPAX Mrkt Shar S&amp;P 04-06"/>
      <sheetName val="Sheet1"/>
    </sheetNames>
    <sheetDataSet>
      <sheetData sheetId="0"/>
      <sheetData sheetId="1"/>
      <sheetData sheetId="2"/>
      <sheetData sheetId="3"/>
      <sheetData sheetId="4">
        <row r="8">
          <cell r="B8">
            <v>1498</v>
          </cell>
          <cell r="C8">
            <v>1732</v>
          </cell>
          <cell r="D8">
            <v>2001</v>
          </cell>
          <cell r="E8">
            <v>2268</v>
          </cell>
          <cell r="F8">
            <v>2578</v>
          </cell>
          <cell r="G8">
            <v>2483</v>
          </cell>
          <cell r="H8">
            <v>2334</v>
          </cell>
          <cell r="I8">
            <v>2330</v>
          </cell>
          <cell r="J8">
            <v>2075</v>
          </cell>
          <cell r="K8">
            <v>2323</v>
          </cell>
          <cell r="L8">
            <v>2176</v>
          </cell>
          <cell r="M8">
            <v>2368</v>
          </cell>
        </row>
        <row r="9">
          <cell r="B9">
            <v>2850</v>
          </cell>
          <cell r="C9">
            <v>2635</v>
          </cell>
          <cell r="D9">
            <v>3145</v>
          </cell>
          <cell r="E9">
            <v>3357</v>
          </cell>
          <cell r="F9">
            <v>3684</v>
          </cell>
          <cell r="G9">
            <v>3270</v>
          </cell>
          <cell r="H9">
            <v>3169</v>
          </cell>
          <cell r="I9">
            <v>3937</v>
          </cell>
          <cell r="J9">
            <v>3792</v>
          </cell>
          <cell r="K9">
            <v>3973</v>
          </cell>
          <cell r="L9">
            <v>3494</v>
          </cell>
          <cell r="M9">
            <v>3199</v>
          </cell>
        </row>
        <row r="10">
          <cell r="B10">
            <v>1931</v>
          </cell>
          <cell r="C10">
            <v>1931</v>
          </cell>
          <cell r="D10">
            <v>2315</v>
          </cell>
          <cell r="E10">
            <v>2278</v>
          </cell>
          <cell r="F10">
            <v>2433</v>
          </cell>
          <cell r="G10">
            <v>2239</v>
          </cell>
          <cell r="H10">
            <v>2729</v>
          </cell>
          <cell r="I10">
            <v>2662</v>
          </cell>
          <cell r="J10">
            <v>2441</v>
          </cell>
          <cell r="K10">
            <v>2537</v>
          </cell>
          <cell r="L10">
            <v>2383</v>
          </cell>
          <cell r="M10">
            <v>2586</v>
          </cell>
        </row>
        <row r="14">
          <cell r="B14">
            <v>1596</v>
          </cell>
          <cell r="C14">
            <v>1684</v>
          </cell>
          <cell r="D14">
            <v>1774</v>
          </cell>
          <cell r="E14">
            <v>2403</v>
          </cell>
          <cell r="F14">
            <v>2493</v>
          </cell>
          <cell r="G14">
            <v>2429</v>
          </cell>
          <cell r="H14">
            <v>2074</v>
          </cell>
          <cell r="I14">
            <v>2465</v>
          </cell>
          <cell r="J14">
            <v>2171</v>
          </cell>
          <cell r="K14">
            <v>2319</v>
          </cell>
          <cell r="L14">
            <v>2273</v>
          </cell>
          <cell r="M14">
            <v>2235</v>
          </cell>
        </row>
        <row r="15">
          <cell r="B15">
            <v>2619</v>
          </cell>
          <cell r="C15">
            <v>2702</v>
          </cell>
          <cell r="D15">
            <v>3085</v>
          </cell>
          <cell r="E15">
            <v>3148</v>
          </cell>
          <cell r="F15">
            <v>3562</v>
          </cell>
          <cell r="G15">
            <v>3314</v>
          </cell>
          <cell r="H15">
            <v>3240</v>
          </cell>
          <cell r="I15">
            <v>3851</v>
          </cell>
          <cell r="J15">
            <v>3591</v>
          </cell>
          <cell r="K15">
            <v>3950</v>
          </cell>
          <cell r="L15">
            <v>3645</v>
          </cell>
          <cell r="M15">
            <v>3140</v>
          </cell>
        </row>
        <row r="16">
          <cell r="B16">
            <v>1869</v>
          </cell>
          <cell r="C16">
            <v>1922</v>
          </cell>
          <cell r="D16">
            <v>2386</v>
          </cell>
          <cell r="E16">
            <v>2366</v>
          </cell>
          <cell r="F16">
            <v>2475</v>
          </cell>
          <cell r="G16">
            <v>2287</v>
          </cell>
          <cell r="H16">
            <v>2691</v>
          </cell>
          <cell r="I16">
            <v>2681</v>
          </cell>
          <cell r="J16">
            <v>2470</v>
          </cell>
          <cell r="K16">
            <v>2448</v>
          </cell>
          <cell r="L16">
            <v>2368</v>
          </cell>
          <cell r="M16">
            <v>2597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1" sqref="E51"/>
    </sheetView>
  </sheetViews>
  <sheetFormatPr defaultRowHeight="12.5" x14ac:dyDescent="0.25"/>
  <cols>
    <col min="1" max="1" width="20.453125" customWidth="1"/>
    <col min="2" max="2" width="11.26953125" customWidth="1"/>
    <col min="3" max="3" width="11.453125" customWidth="1"/>
    <col min="4" max="4" width="11.1796875" style="5" bestFit="1" customWidth="1"/>
    <col min="5" max="5" width="11.1796875" bestFit="1" customWidth="1"/>
    <col min="6" max="6" width="12.1796875" style="5" bestFit="1" customWidth="1"/>
    <col min="7" max="7" width="12.1796875" bestFit="1" customWidth="1"/>
    <col min="8" max="8" width="12" style="5" customWidth="1"/>
    <col min="9" max="11" width="12.26953125" bestFit="1" customWidth="1"/>
    <col min="12" max="12" width="11.26953125" bestFit="1" customWidth="1"/>
    <col min="13" max="13" width="10.26953125" customWidth="1"/>
    <col min="14" max="14" width="13.453125" bestFit="1" customWidth="1"/>
    <col min="15" max="15" width="7.26953125" hidden="1" customWidth="1"/>
    <col min="16" max="16" width="10.1796875" bestFit="1" customWidth="1"/>
    <col min="17" max="17" width="8.453125" bestFit="1" customWidth="1"/>
    <col min="18" max="18" width="8.54296875" bestFit="1" customWidth="1"/>
    <col min="19" max="19" width="8" customWidth="1"/>
    <col min="24" max="24" width="11.26953125" bestFit="1" customWidth="1"/>
    <col min="25" max="25" width="9.26953125" bestFit="1" customWidth="1"/>
    <col min="26" max="26" width="13.81640625" bestFit="1" customWidth="1"/>
    <col min="27" max="27" width="10.1796875" bestFit="1" customWidth="1"/>
    <col min="29" max="29" width="10.1796875" bestFit="1" customWidth="1"/>
  </cols>
  <sheetData>
    <row r="1" spans="1:2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9" ht="15.5" x14ac:dyDescent="0.35">
      <c r="A3" s="1">
        <v>2019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2</v>
      </c>
    </row>
    <row r="4" spans="1:29" ht="15.5" x14ac:dyDescent="0.35">
      <c r="A4" s="3"/>
      <c r="B4" s="3"/>
      <c r="C4" s="3"/>
      <c r="D4" s="4"/>
      <c r="E4" s="3"/>
      <c r="F4" s="3"/>
      <c r="G4" s="3"/>
      <c r="H4" s="4"/>
      <c r="I4" s="3"/>
      <c r="J4" s="3"/>
      <c r="K4" s="3"/>
      <c r="L4" s="3"/>
      <c r="M4" s="3"/>
      <c r="N4" s="3"/>
      <c r="P4" s="2" t="s">
        <v>3</v>
      </c>
    </row>
    <row r="5" spans="1:29" ht="13" x14ac:dyDescent="0.3">
      <c r="P5" s="2" t="s">
        <v>4</v>
      </c>
    </row>
    <row r="6" spans="1:29" s="6" customFormat="1" ht="13" x14ac:dyDescent="0.3">
      <c r="A6" s="6" t="s">
        <v>5</v>
      </c>
      <c r="B6" s="7" t="s">
        <v>6</v>
      </c>
      <c r="C6" s="7" t="s">
        <v>7</v>
      </c>
      <c r="D6" s="8" t="s">
        <v>8</v>
      </c>
      <c r="E6" s="7" t="s">
        <v>9</v>
      </c>
      <c r="F6" s="8" t="s">
        <v>10</v>
      </c>
      <c r="G6" s="7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P6" s="2" t="s">
        <v>19</v>
      </c>
    </row>
    <row r="7" spans="1:29" ht="13" x14ac:dyDescent="0.3">
      <c r="A7" s="9" t="s">
        <v>20</v>
      </c>
      <c r="I7" s="5"/>
    </row>
    <row r="8" spans="1:29" x14ac:dyDescent="0.25">
      <c r="A8" s="10" t="s">
        <v>21</v>
      </c>
      <c r="B8" s="11">
        <v>2285</v>
      </c>
      <c r="C8" s="12">
        <v>2206</v>
      </c>
      <c r="D8" s="12">
        <v>2550</v>
      </c>
      <c r="E8" s="11">
        <v>2336</v>
      </c>
      <c r="F8" s="12">
        <v>3693</v>
      </c>
      <c r="G8" s="12">
        <v>3718</v>
      </c>
      <c r="H8" s="12">
        <v>3974</v>
      </c>
      <c r="I8" s="12">
        <v>3846</v>
      </c>
      <c r="J8" s="12">
        <v>3557</v>
      </c>
      <c r="K8" s="11">
        <v>3086</v>
      </c>
      <c r="L8" s="12">
        <v>2502</v>
      </c>
      <c r="M8" s="11">
        <v>2598</v>
      </c>
      <c r="N8" s="11">
        <f>SUM(B8:M8)</f>
        <v>36351</v>
      </c>
      <c r="O8" s="13">
        <f>+N8/N$11</f>
        <v>0.34047674799793942</v>
      </c>
      <c r="P8" s="13">
        <f>+N8/(N$11)</f>
        <v>0.34047674799793942</v>
      </c>
      <c r="Q8" s="14">
        <f>SUM('[1]Stats 18'!B8:M8)</f>
        <v>26166</v>
      </c>
      <c r="R8" s="15">
        <f>(N8-Q8)/(Q8)</f>
        <v>0.38924558587479935</v>
      </c>
    </row>
    <row r="9" spans="1:29" x14ac:dyDescent="0.25">
      <c r="A9" s="10" t="s">
        <v>22</v>
      </c>
      <c r="B9" s="11">
        <v>3033</v>
      </c>
      <c r="C9" s="12">
        <v>2856</v>
      </c>
      <c r="D9" s="12">
        <v>3361</v>
      </c>
      <c r="E9" s="11">
        <v>3414</v>
      </c>
      <c r="F9" s="12">
        <v>3687</v>
      </c>
      <c r="G9" s="12">
        <v>3724</v>
      </c>
      <c r="H9" s="12">
        <v>3734</v>
      </c>
      <c r="I9" s="12">
        <v>3995</v>
      </c>
      <c r="J9" s="12">
        <v>3641</v>
      </c>
      <c r="K9" s="11">
        <v>3733</v>
      </c>
      <c r="L9" s="12">
        <v>3646</v>
      </c>
      <c r="M9" s="12">
        <v>3557</v>
      </c>
      <c r="N9" s="11">
        <f>SUM(B9:M9)</f>
        <v>42381</v>
      </c>
      <c r="O9" s="13">
        <f>+N9/N$11</f>
        <v>0.39695593125087808</v>
      </c>
      <c r="P9" s="13">
        <f>+N9/(N$11)</f>
        <v>0.39695593125087808</v>
      </c>
      <c r="Q9" s="14">
        <f>SUM('[1]Stats 18'!B9:M9)</f>
        <v>40505</v>
      </c>
      <c r="R9" s="15">
        <f>(N9-Q9)/(Q9)</f>
        <v>4.631526971978768E-2</v>
      </c>
    </row>
    <row r="10" spans="1:29" x14ac:dyDescent="0.25">
      <c r="A10" s="10" t="s">
        <v>23</v>
      </c>
      <c r="B10" s="16">
        <v>1918</v>
      </c>
      <c r="C10" s="17">
        <v>1922</v>
      </c>
      <c r="D10" s="17">
        <v>2247</v>
      </c>
      <c r="E10" s="16">
        <f>2407+44</f>
        <v>2451</v>
      </c>
      <c r="F10" s="17">
        <v>2523</v>
      </c>
      <c r="G10" s="17">
        <f>2120+129</f>
        <v>2249</v>
      </c>
      <c r="H10" s="17">
        <v>2332</v>
      </c>
      <c r="I10" s="17">
        <f>873+1640</f>
        <v>2513</v>
      </c>
      <c r="J10" s="17">
        <v>2357</v>
      </c>
      <c r="K10" s="16">
        <f>148+1980+459</f>
        <v>2587</v>
      </c>
      <c r="L10" s="17">
        <f>2293+112</f>
        <v>2405</v>
      </c>
      <c r="M10" s="16">
        <f>1329+516+684</f>
        <v>2529</v>
      </c>
      <c r="N10" s="16">
        <f>SUM(B10:M10)</f>
        <v>28033</v>
      </c>
      <c r="O10" s="18">
        <f>+N10/N$11</f>
        <v>0.2625673207511825</v>
      </c>
      <c r="P10" s="13">
        <f>+N10/(N$11)</f>
        <v>0.2625673207511825</v>
      </c>
      <c r="Q10" s="14">
        <f>SUM('[1]Stats 18'!B10:M10)</f>
        <v>28465</v>
      </c>
      <c r="R10" s="15">
        <f>(N10-Q10)/(Q10)</f>
        <v>-1.5176532583874934E-2</v>
      </c>
    </row>
    <row r="11" spans="1:29" x14ac:dyDescent="0.25">
      <c r="A11" s="10" t="s">
        <v>18</v>
      </c>
      <c r="B11" s="11">
        <f t="shared" ref="B11:P11" si="0">SUM(B8:B10)</f>
        <v>7236</v>
      </c>
      <c r="C11" s="12">
        <f t="shared" si="0"/>
        <v>6984</v>
      </c>
      <c r="D11" s="12">
        <f t="shared" si="0"/>
        <v>8158</v>
      </c>
      <c r="E11" s="11">
        <f t="shared" si="0"/>
        <v>8201</v>
      </c>
      <c r="F11" s="12">
        <f t="shared" si="0"/>
        <v>9903</v>
      </c>
      <c r="G11" s="12">
        <f t="shared" si="0"/>
        <v>9691</v>
      </c>
      <c r="H11" s="12">
        <f t="shared" si="0"/>
        <v>10040</v>
      </c>
      <c r="I11" s="12">
        <f t="shared" si="0"/>
        <v>10354</v>
      </c>
      <c r="J11" s="12">
        <f t="shared" si="0"/>
        <v>9555</v>
      </c>
      <c r="K11" s="11">
        <f t="shared" si="0"/>
        <v>9406</v>
      </c>
      <c r="L11" s="12">
        <f t="shared" si="0"/>
        <v>8553</v>
      </c>
      <c r="M11" s="11">
        <f t="shared" si="0"/>
        <v>8684</v>
      </c>
      <c r="N11" s="11">
        <f>SUM(N8:N10)</f>
        <v>106765</v>
      </c>
      <c r="O11" s="19">
        <f t="shared" si="0"/>
        <v>1</v>
      </c>
      <c r="P11" s="20">
        <f t="shared" si="0"/>
        <v>1</v>
      </c>
      <c r="Q11" s="21">
        <f>SUM(Q8:Q10)</f>
        <v>95136</v>
      </c>
      <c r="R11" s="22">
        <f>N11-Q11</f>
        <v>11629</v>
      </c>
      <c r="S11" s="15">
        <f>R11/Q11</f>
        <v>0.12223553649512277</v>
      </c>
      <c r="X11" s="23"/>
      <c r="Y11" s="14"/>
      <c r="Z11" s="23"/>
      <c r="AA11" s="23"/>
      <c r="AC11" s="24"/>
    </row>
    <row r="12" spans="1:29" x14ac:dyDescent="0.25">
      <c r="A12" t="s">
        <v>5</v>
      </c>
      <c r="B12" s="11"/>
      <c r="C12" s="12"/>
      <c r="D12" s="12"/>
      <c r="E12" s="11"/>
      <c r="F12" s="12"/>
      <c r="G12" s="12"/>
      <c r="H12" s="12"/>
      <c r="I12" s="12"/>
      <c r="J12" s="12"/>
      <c r="K12" s="11"/>
      <c r="L12" s="12"/>
      <c r="M12" s="11"/>
      <c r="N12" s="11"/>
      <c r="O12" s="19"/>
      <c r="P12" s="19"/>
      <c r="X12" s="23"/>
      <c r="Y12" s="14"/>
      <c r="Z12" s="23"/>
      <c r="AA12" s="23"/>
      <c r="AC12" s="24"/>
    </row>
    <row r="13" spans="1:29" ht="13" x14ac:dyDescent="0.3">
      <c r="A13" s="9" t="s">
        <v>24</v>
      </c>
      <c r="B13" s="11"/>
      <c r="C13" s="12"/>
      <c r="D13" s="12"/>
      <c r="E13" s="11"/>
      <c r="F13" s="12"/>
      <c r="G13" s="12"/>
      <c r="H13" s="12"/>
      <c r="I13" s="12"/>
      <c r="J13" s="12"/>
      <c r="K13" s="11"/>
      <c r="L13" s="12"/>
      <c r="M13" s="11"/>
      <c r="N13" s="11"/>
      <c r="O13" s="19"/>
      <c r="P13" s="19"/>
    </row>
    <row r="14" spans="1:29" x14ac:dyDescent="0.25">
      <c r="A14" s="10" t="s">
        <v>21</v>
      </c>
      <c r="B14" s="11">
        <v>2196</v>
      </c>
      <c r="C14" s="12">
        <v>2095</v>
      </c>
      <c r="D14" s="12">
        <v>2441</v>
      </c>
      <c r="E14" s="11">
        <v>2344</v>
      </c>
      <c r="F14" s="12">
        <v>3745</v>
      </c>
      <c r="G14" s="12">
        <v>3816</v>
      </c>
      <c r="H14" s="12">
        <v>3816</v>
      </c>
      <c r="I14" s="12">
        <v>4018</v>
      </c>
      <c r="J14" s="12">
        <v>3629</v>
      </c>
      <c r="K14" s="11">
        <v>3158</v>
      </c>
      <c r="L14" s="12">
        <v>2722</v>
      </c>
      <c r="M14" s="11">
        <v>2695</v>
      </c>
      <c r="N14" s="11">
        <f>SUM(B14:M14)</f>
        <v>36675</v>
      </c>
      <c r="O14" s="13">
        <f>+N14/N$17</f>
        <v>0.34894341740958867</v>
      </c>
      <c r="P14" s="13">
        <f>+N14/(N$17)</f>
        <v>0.34894341740958867</v>
      </c>
      <c r="Q14" s="14">
        <f>SUM('[1]Stats 18'!B14:M14)</f>
        <v>25916</v>
      </c>
    </row>
    <row r="15" spans="1:29" x14ac:dyDescent="0.25">
      <c r="A15" t="str">
        <f>+A9</f>
        <v>SkyWest/Delta</v>
      </c>
      <c r="B15" s="11">
        <v>2767</v>
      </c>
      <c r="C15" s="12">
        <v>2671</v>
      </c>
      <c r="D15" s="12">
        <v>3495</v>
      </c>
      <c r="E15" s="11">
        <v>3335</v>
      </c>
      <c r="F15" s="12">
        <v>3602</v>
      </c>
      <c r="G15" s="12">
        <v>3657</v>
      </c>
      <c r="H15" s="12">
        <v>3667</v>
      </c>
      <c r="I15" s="12">
        <v>3981</v>
      </c>
      <c r="J15" s="12">
        <v>3415</v>
      </c>
      <c r="K15" s="11">
        <v>3611</v>
      </c>
      <c r="L15" s="12">
        <v>3476</v>
      </c>
      <c r="M15" s="11">
        <v>3473</v>
      </c>
      <c r="N15" s="11">
        <f>SUM(B15:M15)</f>
        <v>41150</v>
      </c>
      <c r="O15" s="13">
        <f>+N15/N$17</f>
        <v>0.39152069874313766</v>
      </c>
      <c r="P15" s="13">
        <f>+N15/(N$17)</f>
        <v>0.39152069874313766</v>
      </c>
      <c r="Q15" s="14">
        <f>SUM('[1]Stats 18'!B15:M15)</f>
        <v>39847</v>
      </c>
    </row>
    <row r="16" spans="1:29" x14ac:dyDescent="0.25">
      <c r="A16" s="10" t="s">
        <v>23</v>
      </c>
      <c r="B16" s="16">
        <v>1811</v>
      </c>
      <c r="C16" s="17">
        <v>1884</v>
      </c>
      <c r="D16" s="17">
        <v>2244</v>
      </c>
      <c r="E16" s="16">
        <f>2437+44</f>
        <v>2481</v>
      </c>
      <c r="F16" s="17">
        <v>2480</v>
      </c>
      <c r="G16" s="17">
        <f>2056+130</f>
        <v>2186</v>
      </c>
      <c r="H16" s="17">
        <v>2361</v>
      </c>
      <c r="I16" s="17">
        <f>901+1481+26</f>
        <v>2408</v>
      </c>
      <c r="J16" s="17">
        <v>2217</v>
      </c>
      <c r="K16" s="16">
        <f>137+1901+374</f>
        <v>2412</v>
      </c>
      <c r="L16" s="17">
        <f>65+2310</f>
        <v>2375</v>
      </c>
      <c r="M16" s="16">
        <f>1262+483+674</f>
        <v>2419</v>
      </c>
      <c r="N16" s="16">
        <f>SUM(B16:M16)</f>
        <v>27278</v>
      </c>
      <c r="O16" s="18">
        <f>+N16/N$17</f>
        <v>0.25953588384727361</v>
      </c>
      <c r="P16" s="18">
        <f>+N16/(N$17)</f>
        <v>0.25953588384727361</v>
      </c>
      <c r="Q16" s="14">
        <f>SUM('[1]Stats 18'!B16:M16)</f>
        <v>28560</v>
      </c>
    </row>
    <row r="17" spans="1:19" x14ac:dyDescent="0.25">
      <c r="A17" s="10" t="s">
        <v>18</v>
      </c>
      <c r="B17" s="11">
        <f t="shared" ref="B17:M17" si="1">SUM(B14:B16)</f>
        <v>6774</v>
      </c>
      <c r="C17" s="12">
        <f t="shared" si="1"/>
        <v>6650</v>
      </c>
      <c r="D17" s="12">
        <f t="shared" si="1"/>
        <v>8180</v>
      </c>
      <c r="E17" s="11">
        <f t="shared" si="1"/>
        <v>8160</v>
      </c>
      <c r="F17" s="12">
        <f t="shared" si="1"/>
        <v>9827</v>
      </c>
      <c r="G17" s="12">
        <f t="shared" si="1"/>
        <v>9659</v>
      </c>
      <c r="H17" s="12">
        <f t="shared" si="1"/>
        <v>9844</v>
      </c>
      <c r="I17" s="11">
        <f t="shared" si="1"/>
        <v>10407</v>
      </c>
      <c r="J17" s="12">
        <f t="shared" si="1"/>
        <v>9261</v>
      </c>
      <c r="K17" s="11">
        <f t="shared" si="1"/>
        <v>9181</v>
      </c>
      <c r="L17" s="12">
        <f t="shared" si="1"/>
        <v>8573</v>
      </c>
      <c r="M17" s="11">
        <f t="shared" si="1"/>
        <v>8587</v>
      </c>
      <c r="N17" s="11">
        <f>SUM(B17:M17)</f>
        <v>105103</v>
      </c>
      <c r="O17" s="19">
        <f>SUM(O14:O16)</f>
        <v>1</v>
      </c>
      <c r="P17" s="19">
        <f>SUM(P14:P16)</f>
        <v>1</v>
      </c>
      <c r="Q17" s="21">
        <f>SUM(Q14:Q16)</f>
        <v>94323</v>
      </c>
      <c r="R17" s="22">
        <f>N17-Q17</f>
        <v>10780</v>
      </c>
      <c r="S17" s="15">
        <f>R17/Q17</f>
        <v>0.11428813756983981</v>
      </c>
    </row>
    <row r="18" spans="1:19" x14ac:dyDescent="0.25">
      <c r="A18" t="s">
        <v>5</v>
      </c>
      <c r="B18" s="11"/>
      <c r="C18" s="12"/>
      <c r="D18" s="12"/>
      <c r="E18" s="11"/>
      <c r="F18" s="12"/>
      <c r="G18" s="12"/>
      <c r="H18" s="12"/>
      <c r="I18" s="12"/>
      <c r="J18" s="12"/>
      <c r="K18" s="11"/>
      <c r="L18" s="12"/>
      <c r="M18" s="11"/>
      <c r="N18" s="11"/>
    </row>
    <row r="19" spans="1:19" ht="13" x14ac:dyDescent="0.3">
      <c r="A19" s="9" t="s">
        <v>25</v>
      </c>
      <c r="B19" s="11"/>
      <c r="C19" s="12"/>
      <c r="D19" s="12"/>
      <c r="E19" s="11"/>
      <c r="F19" s="12"/>
      <c r="G19" s="12"/>
      <c r="H19" s="12"/>
      <c r="I19" s="12"/>
      <c r="J19" s="12"/>
      <c r="K19" s="11"/>
      <c r="L19" s="12"/>
      <c r="M19" s="11"/>
      <c r="N19" s="11"/>
    </row>
    <row r="20" spans="1:19" x14ac:dyDescent="0.25">
      <c r="A20" t="s">
        <v>26</v>
      </c>
      <c r="B20" s="16">
        <v>398</v>
      </c>
      <c r="C20" s="17">
        <v>680</v>
      </c>
      <c r="D20" s="17">
        <v>852</v>
      </c>
      <c r="E20" s="16">
        <f>951+748</f>
        <v>1699</v>
      </c>
      <c r="F20" s="17">
        <f>1147</f>
        <v>1147</v>
      </c>
      <c r="G20" s="17">
        <f>978</f>
        <v>978</v>
      </c>
      <c r="H20" s="17">
        <v>458</v>
      </c>
      <c r="I20" s="17">
        <v>258</v>
      </c>
      <c r="J20" s="17">
        <f>659</f>
        <v>659</v>
      </c>
      <c r="K20" s="16">
        <f>176</f>
        <v>176</v>
      </c>
      <c r="L20" s="17">
        <f>456</f>
        <v>456</v>
      </c>
      <c r="M20" s="25">
        <v>158</v>
      </c>
      <c r="N20" s="16">
        <f>SUM(B20:M20)</f>
        <v>7919</v>
      </c>
    </row>
    <row r="21" spans="1:19" x14ac:dyDescent="0.25">
      <c r="A21" t="s">
        <v>18</v>
      </c>
      <c r="B21" s="11">
        <f t="shared" ref="B21:M21" si="2">SUM(B20:B20)</f>
        <v>398</v>
      </c>
      <c r="C21" s="12">
        <f t="shared" si="2"/>
        <v>680</v>
      </c>
      <c r="D21" s="12">
        <f t="shared" si="2"/>
        <v>852</v>
      </c>
      <c r="E21" s="11">
        <f t="shared" si="2"/>
        <v>1699</v>
      </c>
      <c r="F21" s="12">
        <f t="shared" si="2"/>
        <v>1147</v>
      </c>
      <c r="G21" s="12">
        <f t="shared" si="2"/>
        <v>978</v>
      </c>
      <c r="H21" s="12">
        <f t="shared" si="2"/>
        <v>458</v>
      </c>
      <c r="I21" s="11">
        <f t="shared" si="2"/>
        <v>258</v>
      </c>
      <c r="J21" s="12">
        <f t="shared" si="2"/>
        <v>659</v>
      </c>
      <c r="K21" s="11">
        <f t="shared" si="2"/>
        <v>176</v>
      </c>
      <c r="L21" s="12">
        <f t="shared" si="2"/>
        <v>456</v>
      </c>
      <c r="M21" s="11">
        <f t="shared" si="2"/>
        <v>158</v>
      </c>
      <c r="N21" s="11">
        <f>SUM(B21:M21)</f>
        <v>7919</v>
      </c>
    </row>
    <row r="22" spans="1:19" x14ac:dyDescent="0.25">
      <c r="B22" s="11"/>
      <c r="C22" s="12"/>
      <c r="D22" s="12"/>
      <c r="E22" s="11"/>
      <c r="F22" s="12"/>
      <c r="G22" s="12"/>
      <c r="H22" s="12"/>
      <c r="I22" s="12"/>
      <c r="J22" s="12"/>
      <c r="K22" s="11"/>
      <c r="L22" s="12"/>
      <c r="M22" s="11"/>
      <c r="N22" s="11"/>
    </row>
    <row r="23" spans="1:19" ht="13" x14ac:dyDescent="0.3">
      <c r="A23" s="9" t="s">
        <v>27</v>
      </c>
      <c r="B23" s="11"/>
      <c r="C23" s="12"/>
      <c r="D23" s="12"/>
      <c r="E23" s="11"/>
      <c r="F23" s="12"/>
      <c r="G23" s="12"/>
      <c r="H23" s="12"/>
      <c r="I23" s="12"/>
      <c r="J23" s="12"/>
      <c r="K23" s="11"/>
      <c r="L23" s="12"/>
      <c r="M23" s="11"/>
      <c r="N23" s="11"/>
    </row>
    <row r="24" spans="1:19" x14ac:dyDescent="0.25">
      <c r="A24" t="s">
        <v>26</v>
      </c>
      <c r="B24" s="26">
        <f>122+23321</f>
        <v>23443</v>
      </c>
      <c r="C24" s="17">
        <f>90+15897</f>
        <v>15987</v>
      </c>
      <c r="D24" s="17">
        <f>187+28598</f>
        <v>28785</v>
      </c>
      <c r="E24" s="16">
        <f>20289+284</f>
        <v>20573</v>
      </c>
      <c r="F24" s="26">
        <f>987+19918</f>
        <v>20905</v>
      </c>
      <c r="G24" s="17">
        <f>21698+423</f>
        <v>22121</v>
      </c>
      <c r="H24" s="17">
        <f>18282+129</f>
        <v>18411</v>
      </c>
      <c r="I24" s="17">
        <f>87+24496</f>
        <v>24583</v>
      </c>
      <c r="J24" s="17">
        <f>420+16866</f>
        <v>17286</v>
      </c>
      <c r="K24" s="16">
        <f>82+24199</f>
        <v>24281</v>
      </c>
      <c r="L24" s="17">
        <f>48+25994</f>
        <v>26042</v>
      </c>
      <c r="M24" s="17">
        <f>89+26521</f>
        <v>26610</v>
      </c>
      <c r="N24" s="16">
        <f>SUM(B24:M24)</f>
        <v>269027</v>
      </c>
    </row>
    <row r="25" spans="1:19" x14ac:dyDescent="0.25">
      <c r="A25" t="s">
        <v>18</v>
      </c>
      <c r="B25" s="11">
        <f t="shared" ref="B25:M25" si="3">SUM(B24:B24)</f>
        <v>23443</v>
      </c>
      <c r="C25" s="12">
        <f t="shared" si="3"/>
        <v>15987</v>
      </c>
      <c r="D25" s="12">
        <f t="shared" si="3"/>
        <v>28785</v>
      </c>
      <c r="E25" s="11">
        <f t="shared" si="3"/>
        <v>20573</v>
      </c>
      <c r="F25" s="12">
        <f t="shared" si="3"/>
        <v>20905</v>
      </c>
      <c r="G25" s="12">
        <f t="shared" si="3"/>
        <v>22121</v>
      </c>
      <c r="H25" s="12">
        <f t="shared" si="3"/>
        <v>18411</v>
      </c>
      <c r="I25" s="11">
        <f t="shared" si="3"/>
        <v>24583</v>
      </c>
      <c r="J25" s="12">
        <f t="shared" si="3"/>
        <v>17286</v>
      </c>
      <c r="K25" s="11">
        <f t="shared" si="3"/>
        <v>24281</v>
      </c>
      <c r="L25" s="12">
        <f t="shared" si="3"/>
        <v>26042</v>
      </c>
      <c r="M25" s="11">
        <f t="shared" si="3"/>
        <v>26610</v>
      </c>
      <c r="N25" s="11">
        <f>SUM(B25:M25)</f>
        <v>269027</v>
      </c>
    </row>
    <row r="26" spans="1:19" x14ac:dyDescent="0.25">
      <c r="B26" s="11"/>
      <c r="C26" s="12"/>
      <c r="D26" s="12"/>
      <c r="E26" s="11"/>
      <c r="F26" s="12"/>
      <c r="G26" s="12"/>
      <c r="H26" s="12"/>
      <c r="I26" s="12"/>
      <c r="J26" s="12"/>
      <c r="K26" s="11"/>
      <c r="L26" s="12"/>
      <c r="M26" s="11"/>
      <c r="N26" s="11"/>
    </row>
    <row r="27" spans="1:19" ht="13" x14ac:dyDescent="0.3">
      <c r="A27" s="9" t="s">
        <v>28</v>
      </c>
      <c r="B27" s="11"/>
      <c r="C27" s="12"/>
      <c r="D27" s="12"/>
      <c r="E27" s="11"/>
      <c r="F27" s="12"/>
      <c r="G27" s="12"/>
      <c r="H27" s="12"/>
      <c r="I27" s="12"/>
      <c r="J27" s="12"/>
      <c r="K27" s="11"/>
      <c r="L27" s="12"/>
      <c r="M27" s="11"/>
      <c r="N27" s="11"/>
    </row>
    <row r="28" spans="1:19" x14ac:dyDescent="0.25">
      <c r="A28" t="s">
        <v>29</v>
      </c>
      <c r="B28" s="11">
        <v>329</v>
      </c>
      <c r="C28" s="12">
        <v>304</v>
      </c>
      <c r="D28" s="12">
        <f>1+351</f>
        <v>352</v>
      </c>
      <c r="E28" s="12">
        <f>0+555</f>
        <v>555</v>
      </c>
      <c r="F28" s="12">
        <f>0+638</f>
        <v>638</v>
      </c>
      <c r="G28" s="12">
        <f>1+672</f>
        <v>673</v>
      </c>
      <c r="H28" s="12">
        <f>3+625</f>
        <v>628</v>
      </c>
      <c r="I28" s="12">
        <f>3+641</f>
        <v>644</v>
      </c>
      <c r="J28" s="12">
        <f>2+640</f>
        <v>642</v>
      </c>
      <c r="K28" s="11">
        <f>678</f>
        <v>678</v>
      </c>
      <c r="L28" s="12">
        <f>5+546</f>
        <v>551</v>
      </c>
      <c r="M28" s="11">
        <f>3+568</f>
        <v>571</v>
      </c>
      <c r="N28" s="11">
        <f>SUM(B28:M28)</f>
        <v>6565</v>
      </c>
      <c r="P28" t="s">
        <v>30</v>
      </c>
    </row>
    <row r="29" spans="1:19" x14ac:dyDescent="0.25">
      <c r="A29" t="s">
        <v>31</v>
      </c>
      <c r="B29" s="11">
        <v>242</v>
      </c>
      <c r="C29" s="12">
        <v>400</v>
      </c>
      <c r="D29" s="12">
        <v>579</v>
      </c>
      <c r="E29" s="12">
        <f>918</f>
        <v>918</v>
      </c>
      <c r="F29" s="12">
        <f>932</f>
        <v>932</v>
      </c>
      <c r="G29" s="12">
        <f>1163</f>
        <v>1163</v>
      </c>
      <c r="H29" s="12">
        <f>1709</f>
        <v>1709</v>
      </c>
      <c r="I29" s="12">
        <f>1455</f>
        <v>1455</v>
      </c>
      <c r="J29" s="12">
        <f>1452</f>
        <v>1452</v>
      </c>
      <c r="K29" s="11">
        <f>1194</f>
        <v>1194</v>
      </c>
      <c r="L29" s="12">
        <f>534</f>
        <v>534</v>
      </c>
      <c r="M29" s="11">
        <v>507</v>
      </c>
      <c r="N29" s="11">
        <f>SUM(B29:M29)</f>
        <v>11085</v>
      </c>
      <c r="P29" t="s">
        <v>32</v>
      </c>
      <c r="Q29" s="15"/>
    </row>
    <row r="30" spans="1:19" x14ac:dyDescent="0.25">
      <c r="A30" t="s">
        <v>33</v>
      </c>
      <c r="B30" s="27">
        <v>5</v>
      </c>
      <c r="C30" s="28">
        <v>2</v>
      </c>
      <c r="D30" s="28">
        <f>15+11</f>
        <v>26</v>
      </c>
      <c r="E30" s="28">
        <f>33+14</f>
        <v>47</v>
      </c>
      <c r="F30" s="28">
        <f>12+17</f>
        <v>29</v>
      </c>
      <c r="G30" s="28">
        <f>10+2</f>
        <v>12</v>
      </c>
      <c r="H30" s="28">
        <f>19+8</f>
        <v>27</v>
      </c>
      <c r="I30" s="28">
        <f>30+11</f>
        <v>41</v>
      </c>
      <c r="J30" s="28">
        <f>12+0</f>
        <v>12</v>
      </c>
      <c r="K30" s="27">
        <f>24</f>
        <v>24</v>
      </c>
      <c r="L30" s="28">
        <v>29</v>
      </c>
      <c r="M30" s="27">
        <v>6</v>
      </c>
      <c r="N30" s="27">
        <f>SUM(B30:M30)</f>
        <v>260</v>
      </c>
      <c r="P30" t="s">
        <v>34</v>
      </c>
    </row>
    <row r="31" spans="1:19" x14ac:dyDescent="0.25">
      <c r="A31" t="s">
        <v>35</v>
      </c>
      <c r="B31" s="11">
        <v>294</v>
      </c>
      <c r="C31" s="12">
        <v>590</v>
      </c>
      <c r="D31" s="12">
        <v>742</v>
      </c>
      <c r="E31" s="12">
        <f>694</f>
        <v>694</v>
      </c>
      <c r="F31" s="12">
        <f>758</f>
        <v>758</v>
      </c>
      <c r="G31" s="12">
        <f>738</f>
        <v>738</v>
      </c>
      <c r="H31" s="12">
        <f>1251</f>
        <v>1251</v>
      </c>
      <c r="I31" s="12">
        <f>1173</f>
        <v>1173</v>
      </c>
      <c r="J31" s="12">
        <f>1172</f>
        <v>1172</v>
      </c>
      <c r="K31" s="11">
        <f>1093</f>
        <v>1093</v>
      </c>
      <c r="L31" s="12">
        <f>389</f>
        <v>389</v>
      </c>
      <c r="M31" s="11">
        <v>396</v>
      </c>
      <c r="N31" s="11">
        <f>SUM(B31:M31)</f>
        <v>9290</v>
      </c>
      <c r="P31" t="s">
        <v>36</v>
      </c>
    </row>
    <row r="32" spans="1:19" x14ac:dyDescent="0.25">
      <c r="A32" t="s">
        <v>37</v>
      </c>
      <c r="B32" s="29">
        <f t="shared" ref="B32:M32" si="4">SUM(B28:B31)</f>
        <v>870</v>
      </c>
      <c r="C32" s="30">
        <f t="shared" si="4"/>
        <v>1296</v>
      </c>
      <c r="D32" s="30">
        <f t="shared" si="4"/>
        <v>1699</v>
      </c>
      <c r="E32" s="29">
        <f t="shared" si="4"/>
        <v>2214</v>
      </c>
      <c r="F32" s="30">
        <f t="shared" si="4"/>
        <v>2357</v>
      </c>
      <c r="G32" s="30">
        <f t="shared" si="4"/>
        <v>2586</v>
      </c>
      <c r="H32" s="30">
        <f t="shared" si="4"/>
        <v>3615</v>
      </c>
      <c r="I32" s="30">
        <f t="shared" si="4"/>
        <v>3313</v>
      </c>
      <c r="J32" s="30">
        <f t="shared" si="4"/>
        <v>3278</v>
      </c>
      <c r="K32" s="29">
        <f t="shared" si="4"/>
        <v>2989</v>
      </c>
      <c r="L32" s="30">
        <f t="shared" si="4"/>
        <v>1503</v>
      </c>
      <c r="M32" s="29">
        <f t="shared" si="4"/>
        <v>1480</v>
      </c>
      <c r="N32" s="29">
        <f>SUM(B32:M32)</f>
        <v>27200</v>
      </c>
    </row>
    <row r="33" spans="1:14" x14ac:dyDescent="0.25">
      <c r="C33" s="5"/>
      <c r="G33" s="5"/>
      <c r="I33" s="5"/>
      <c r="J33" s="5"/>
      <c r="L33" s="5"/>
    </row>
    <row r="34" spans="1:14" ht="13" x14ac:dyDescent="0.3">
      <c r="A34" s="9" t="s">
        <v>38</v>
      </c>
      <c r="C34" s="5"/>
      <c r="G34" s="5"/>
      <c r="I34" s="5"/>
      <c r="J34" s="5"/>
      <c r="L34" s="5"/>
    </row>
    <row r="35" spans="1:14" ht="13" x14ac:dyDescent="0.3">
      <c r="A35" s="31" t="s">
        <v>21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1:14" x14ac:dyDescent="0.25">
      <c r="A36" s="35" t="s">
        <v>39</v>
      </c>
      <c r="B36" s="14">
        <v>2531700</v>
      </c>
      <c r="C36" s="36">
        <v>2226150</v>
      </c>
      <c r="D36" s="36">
        <v>2575350</v>
      </c>
      <c r="E36" s="14">
        <v>2488050</v>
      </c>
      <c r="F36" s="36">
        <v>3972150</v>
      </c>
      <c r="G36" s="36">
        <v>3884850</v>
      </c>
      <c r="H36" s="36">
        <v>4057020</v>
      </c>
      <c r="I36" s="36">
        <v>3969720</v>
      </c>
      <c r="J36" s="36">
        <v>3875130</v>
      </c>
      <c r="K36" s="36">
        <v>3921210</v>
      </c>
      <c r="L36" s="36">
        <v>2619000</v>
      </c>
      <c r="M36" s="36">
        <v>2575350</v>
      </c>
      <c r="N36" s="14">
        <f>SUM(B36:M36)</f>
        <v>38695680</v>
      </c>
    </row>
    <row r="37" spans="1:14" ht="13" x14ac:dyDescent="0.3">
      <c r="A37" s="31" t="s">
        <v>40</v>
      </c>
      <c r="B37" s="37"/>
      <c r="C37" s="37"/>
      <c r="D37" s="33"/>
      <c r="E37" s="37"/>
      <c r="F37" s="37"/>
      <c r="G37" s="37"/>
      <c r="H37" s="33"/>
      <c r="I37" s="37"/>
      <c r="J37" s="37"/>
      <c r="K37" s="37"/>
      <c r="L37" s="37"/>
      <c r="M37" s="37"/>
      <c r="N37" s="38"/>
    </row>
    <row r="38" spans="1:14" x14ac:dyDescent="0.25">
      <c r="A38" s="35" t="s">
        <v>41</v>
      </c>
      <c r="B38" s="14">
        <v>3525000</v>
      </c>
      <c r="C38" s="36">
        <v>3243000</v>
      </c>
      <c r="D38" s="36">
        <v>3901000</v>
      </c>
      <c r="E38" s="14">
        <v>3948000</v>
      </c>
      <c r="F38" s="36">
        <v>3948000</v>
      </c>
      <c r="G38" s="36">
        <v>4042000</v>
      </c>
      <c r="H38" s="36">
        <v>3948000</v>
      </c>
      <c r="I38" s="36">
        <v>4192200</v>
      </c>
      <c r="J38" s="36">
        <v>4070100</v>
      </c>
      <c r="K38" s="36">
        <v>4136000</v>
      </c>
      <c r="L38" s="36">
        <v>3902100</v>
      </c>
      <c r="M38" s="36">
        <v>3733000</v>
      </c>
      <c r="N38" s="14">
        <f>SUM(B38:M38)</f>
        <v>46588400</v>
      </c>
    </row>
    <row r="39" spans="1:14" ht="13" x14ac:dyDescent="0.3">
      <c r="A39" s="39" t="s">
        <v>23</v>
      </c>
      <c r="B39" s="37"/>
      <c r="C39" s="37"/>
      <c r="D39" s="33"/>
      <c r="E39" s="37"/>
      <c r="F39" s="37"/>
      <c r="G39" s="37"/>
      <c r="H39" s="33"/>
      <c r="I39" s="37"/>
      <c r="J39" s="37"/>
      <c r="K39" s="37"/>
      <c r="L39" s="37"/>
      <c r="M39" s="37"/>
      <c r="N39" s="38"/>
    </row>
    <row r="40" spans="1:14" x14ac:dyDescent="0.25">
      <c r="A40" s="35" t="s">
        <v>42</v>
      </c>
      <c r="B40" s="14">
        <v>2209000</v>
      </c>
      <c r="C40" s="36">
        <v>2256000</v>
      </c>
      <c r="D40" s="36">
        <v>2632000</v>
      </c>
      <c r="E40" s="14">
        <v>2726000</v>
      </c>
      <c r="F40" s="36">
        <v>2867000</v>
      </c>
      <c r="G40" s="36">
        <f>2350000+131394</f>
        <v>2481394</v>
      </c>
      <c r="H40" s="36">
        <v>2679000</v>
      </c>
      <c r="I40" s="36">
        <f>956137+1645000+43651</f>
        <v>2644788</v>
      </c>
      <c r="J40" s="36">
        <v>2613117</v>
      </c>
      <c r="K40" s="36">
        <f>2303000+130953+434748</f>
        <v>2868701</v>
      </c>
      <c r="L40" s="36">
        <f>2459894+94000</f>
        <v>2553894</v>
      </c>
      <c r="M40" s="36">
        <f>1359137+564000+655206</f>
        <v>2578343</v>
      </c>
      <c r="N40" s="14">
        <f>SUM(B40:M40)</f>
        <v>31109237</v>
      </c>
    </row>
    <row r="41" spans="1:14" ht="13" x14ac:dyDescent="0.3">
      <c r="A41" s="31" t="s">
        <v>43</v>
      </c>
      <c r="B41" s="37"/>
      <c r="C41" s="37"/>
      <c r="D41" s="33"/>
      <c r="E41" s="37"/>
      <c r="F41" s="37"/>
      <c r="G41" s="37"/>
      <c r="H41" s="33"/>
      <c r="I41" s="37"/>
      <c r="J41" s="37"/>
      <c r="K41" s="37"/>
      <c r="L41" s="37"/>
      <c r="M41" s="37"/>
      <c r="N41" s="38"/>
    </row>
    <row r="42" spans="1:14" x14ac:dyDescent="0.25">
      <c r="A42" t="s">
        <v>44</v>
      </c>
      <c r="B42" s="40">
        <v>187000</v>
      </c>
      <c r="C42" s="40">
        <v>161500</v>
      </c>
      <c r="D42" s="40">
        <v>204000</v>
      </c>
      <c r="E42" s="40">
        <v>178500</v>
      </c>
      <c r="F42" s="40">
        <v>187000</v>
      </c>
      <c r="G42" s="40">
        <v>187000</v>
      </c>
      <c r="H42" s="40">
        <v>195500</v>
      </c>
      <c r="I42" s="40">
        <v>195500</v>
      </c>
      <c r="J42" s="40">
        <v>161500</v>
      </c>
      <c r="K42" s="40">
        <v>195500</v>
      </c>
      <c r="L42" s="40">
        <v>178500</v>
      </c>
      <c r="M42" s="40">
        <v>246500</v>
      </c>
      <c r="N42" s="41">
        <f>SUM(B42:M42)</f>
        <v>2278000</v>
      </c>
    </row>
    <row r="43" spans="1:14" x14ac:dyDescent="0.25">
      <c r="A43" t="s">
        <v>18</v>
      </c>
      <c r="B43" s="14">
        <f t="shared" ref="B43:M43" si="5">SUM(B36:B42)</f>
        <v>8452700</v>
      </c>
      <c r="C43" s="14">
        <f t="shared" si="5"/>
        <v>7886650</v>
      </c>
      <c r="D43" s="36">
        <f t="shared" si="5"/>
        <v>9312350</v>
      </c>
      <c r="E43" s="14">
        <f t="shared" si="5"/>
        <v>9340550</v>
      </c>
      <c r="F43" s="14">
        <f t="shared" si="5"/>
        <v>10974150</v>
      </c>
      <c r="G43" s="14">
        <f t="shared" si="5"/>
        <v>10595244</v>
      </c>
      <c r="H43" s="36">
        <f t="shared" si="5"/>
        <v>10879520</v>
      </c>
      <c r="I43" s="14">
        <f t="shared" si="5"/>
        <v>11002208</v>
      </c>
      <c r="J43" s="14">
        <f t="shared" si="5"/>
        <v>10719847</v>
      </c>
      <c r="K43" s="14">
        <f t="shared" si="5"/>
        <v>11121411</v>
      </c>
      <c r="L43" s="14">
        <f t="shared" si="5"/>
        <v>9253494</v>
      </c>
      <c r="M43" s="14">
        <f t="shared" si="5"/>
        <v>9133193</v>
      </c>
      <c r="N43" s="14">
        <f>SUM(B43:M43)</f>
        <v>118671317</v>
      </c>
    </row>
    <row r="44" spans="1:14" x14ac:dyDescent="0.25">
      <c r="B44" s="14"/>
      <c r="C44" s="14"/>
      <c r="D44" s="36"/>
      <c r="E44" s="14"/>
      <c r="F44" s="36"/>
      <c r="G44" s="14"/>
      <c r="H44" s="36"/>
      <c r="I44" s="36"/>
      <c r="J44" s="14"/>
      <c r="K44" s="14"/>
      <c r="L44" s="36"/>
      <c r="M44" s="14"/>
      <c r="N44" s="14">
        <f>SUM(N36:N42)</f>
        <v>118671317</v>
      </c>
    </row>
    <row r="45" spans="1:14" x14ac:dyDescent="0.25">
      <c r="F45" s="12"/>
      <c r="I45" s="5"/>
      <c r="L45" s="5"/>
    </row>
    <row r="46" spans="1:14" x14ac:dyDescent="0.25">
      <c r="F46" s="42"/>
      <c r="L46" s="5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70" orientation="landscape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19</vt:lpstr>
      <vt:lpstr>'Stats 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2020-01-08T14:55:44Z</dcterms:created>
  <dcterms:modified xsi:type="dcterms:W3CDTF">2020-01-08T14:56:42Z</dcterms:modified>
</cp:coreProperties>
</file>